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65521" yWindow="65521" windowWidth="12255" windowHeight="8565" activeTab="7"/>
  </bookViews>
  <sheets>
    <sheet name="Установка" sheetId="1" r:id="rId1"/>
    <sheet name="Общий список" sheetId="2" r:id="rId2"/>
    <sheet name="Регистрация ОТ" sheetId="3" r:id="rId3"/>
    <sheet name="Лист регистрации ОТ" sheetId="4" r:id="rId4"/>
    <sheet name="Лист ожидания" sheetId="5" r:id="rId5"/>
    <sheet name="Лист регистрации ОЖ" sheetId="6" r:id="rId6"/>
    <sheet name="ПодгОТ" sheetId="7" r:id="rId7"/>
    <sheet name="ОТ" sheetId="8" r:id="rId8"/>
    <sheet name="ПодгДТ" sheetId="9" r:id="rId9"/>
    <sheet name="ДТ" sheetId="10" r:id="rId10"/>
    <sheet name="Алфавитный список" sheetId="11" r:id="rId11"/>
    <sheet name="Неявки"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0" hidden="1">'Алфавитный список'!#REF!</definedName>
    <definedName name="Z_431ADE6F_9C87_431C_B4A0_B27D4A052270_.wvu.Rows" localSheetId="10" hidden="1">'Алфавитный список'!#REF!</definedName>
    <definedName name="Z_431ADE6F_9C87_431C_B4A0_B27D4A052270_.wvu.Rows" localSheetId="7" hidden="1">'ОТ'!#REF!</definedName>
    <definedName name="Z_BAECDCB9_3EEB_4217_B35B_1C8089F9B5BB_.wvu.Cols" localSheetId="10" hidden="1">'Алфавитный список'!#REF!</definedName>
    <definedName name="Z_BAECDCB9_3EEB_4217_B35B_1C8089F9B5BB_.wvu.Rows" localSheetId="10" hidden="1">'Алфавитный список'!#REF!</definedName>
    <definedName name="Z_BAECDCB9_3EEB_4217_B35B_1C8089F9B5BB_.wvu.Rows" localSheetId="9" hidden="1">'ДТ'!$1:$2</definedName>
    <definedName name="Z_BAECDCB9_3EEB_4217_B35B_1C8089F9B5BB_.wvu.Rows" localSheetId="7" hidden="1">'ОТ'!#REF!</definedName>
    <definedName name="Z_F809504A_1B3D_4948_A071_6AE5F7F97D89_.wvu.Cols" localSheetId="10" hidden="1">'Алфавитный список'!#REF!</definedName>
    <definedName name="Z_F809504A_1B3D_4948_A071_6AE5F7F97D89_.wvu.Rows" localSheetId="10" hidden="1">'Алфавитный список'!#REF!</definedName>
    <definedName name="Z_F809504A_1B3D_4948_A071_6AE5F7F97D89_.wvu.Rows" localSheetId="9" hidden="1">'ДТ'!$1:$2</definedName>
    <definedName name="Z_F809504A_1B3D_4948_A071_6AE5F7F97D89_.wvu.Rows" localSheetId="7" hidden="1">'ОТ'!#REF!</definedName>
    <definedName name="_xlnm.Print_Titles" localSheetId="10">'Алфавитный список'!$10:$11</definedName>
    <definedName name="_xlnm.Print_Titles" localSheetId="5">'Лист регистрации ОЖ'!$1:$11</definedName>
    <definedName name="_xlnm.Print_Titles" localSheetId="3">'Лист регистрации ОТ'!$1:$11</definedName>
    <definedName name="_xlnm.Print_Area" localSheetId="9">'ДТ'!$A$1:$S$108</definedName>
    <definedName name="_xlnm.Print_Area" localSheetId="1">'Общий список'!$A$1:$J$107</definedName>
    <definedName name="_xlnm.Print_Area" localSheetId="2">'Регистрация ОТ'!$A$1:$L$36</definedName>
  </definedNames>
  <calcPr fullCalcOnLoad="1"/>
</workbook>
</file>

<file path=xl/sharedStrings.xml><?xml version="1.0" encoding="utf-8"?>
<sst xmlns="http://schemas.openxmlformats.org/spreadsheetml/2006/main" count="524" uniqueCount="207">
  <si>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</si>
  <si>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</si>
  <si>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</si>
  <si>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</si>
  <si>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</si>
  <si>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</si>
  <si>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</si>
  <si>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</si>
  <si>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</si>
  <si>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</si>
  <si>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</si>
  <si>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</si>
  <si>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</si>
  <si>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</si>
  <si>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</si>
  <si>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</si>
  <si>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</si>
  <si>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</si>
  <si>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</si>
  <si>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</si>
  <si>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</si>
  <si>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</si>
  <si>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</si>
  <si>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2-я секция</t>
  </si>
  <si>
    <t>3-я секция</t>
  </si>
  <si>
    <t>ТАБЛИЦА</t>
  </si>
  <si>
    <t>Город (страна)</t>
  </si>
  <si>
    <t>3 место</t>
  </si>
  <si>
    <t>Город</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</si>
  <si>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</si>
  <si>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</si>
  <si>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</si>
  <si>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</si>
  <si>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</si>
  <si>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</si>
  <si>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</si>
  <si>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</si>
  <si>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</si>
  <si>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</si>
  <si>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r>
      <t>Город, страна</t>
    </r>
    <r>
      <rPr>
        <vertAlign val="superscript"/>
        <sz val="8"/>
        <rFont val="Arial Cyr"/>
        <family val="2"/>
      </rPr>
      <t xml:space="preserve">2) </t>
    </r>
    <r>
      <rPr>
        <sz val="8"/>
        <rFont val="Arial Cyr"/>
        <family val="2"/>
      </rPr>
      <t>постоянного места жительства</t>
    </r>
  </si>
  <si>
    <r>
      <t>Участие в ОТ или ОЭ       (или в ОТ+ОЭ)</t>
    </r>
    <r>
      <rPr>
        <vertAlign val="superscript"/>
        <sz val="8"/>
        <rFont val="Arial Cyr"/>
        <family val="2"/>
      </rPr>
      <t>1)</t>
    </r>
  </si>
  <si>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</si>
  <si>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</si>
  <si>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</si>
  <si>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Фамилия, И.О. игрока</t>
  </si>
  <si>
    <t>Статус</t>
  </si>
  <si>
    <t>Дата рожд.</t>
  </si>
  <si>
    <t>Классифи-кационные очки РТТ</t>
  </si>
  <si>
    <t>Х</t>
  </si>
  <si>
    <t>Название турнира</t>
  </si>
  <si>
    <t>Возрастная группа</t>
  </si>
  <si>
    <t>Дата классификации</t>
  </si>
  <si>
    <t>название турнира</t>
  </si>
  <si>
    <t>время</t>
  </si>
  <si>
    <t>Запись закрыта</t>
  </si>
  <si>
    <t xml:space="preserve">ОБЩИЙ СПИСОК ИГРОКОВ ТУРНИРА РТТ </t>
  </si>
  <si>
    <t>Поздняя заявка (если имеется, указать дату)</t>
  </si>
  <si>
    <t>Свободная карта в ОТ (если имеется, указать СК)</t>
  </si>
  <si>
    <t>Свободная карта в ОЭ (если имеется, указать СК)</t>
  </si>
  <si>
    <t>Признак поздней заявки</t>
  </si>
  <si>
    <t>СК-основа</t>
  </si>
  <si>
    <t>СК-квал</t>
  </si>
  <si>
    <t>Классиф.очки РТТ</t>
  </si>
  <si>
    <t>Рег. номер</t>
  </si>
  <si>
    <t>Статусы</t>
  </si>
  <si>
    <t>№ п/п</t>
  </si>
  <si>
    <t>Дата отказа от турнира или неявки на турнир</t>
  </si>
  <si>
    <t>Примечание</t>
  </si>
  <si>
    <t>Название турнира:</t>
  </si>
  <si>
    <t>Категория:</t>
  </si>
  <si>
    <t>Пол игроков:</t>
  </si>
  <si>
    <t>DeadLine:</t>
  </si>
  <si>
    <t>Классификация на:</t>
  </si>
  <si>
    <t>Рейтинг</t>
  </si>
  <si>
    <t>ФИО игрока</t>
  </si>
  <si>
    <t>Дата рождения</t>
  </si>
  <si>
    <t>Оплата</t>
  </si>
  <si>
    <t>Лист ожидания</t>
  </si>
  <si>
    <t>DeadLine</t>
  </si>
  <si>
    <t>Поздняя заявка (дата)</t>
  </si>
  <si>
    <t>Отметка о регистрации (х)</t>
  </si>
  <si>
    <t>Свободные карты</t>
  </si>
  <si>
    <t xml:space="preserve">НЕЯВКА ИГРОКА НА ТУРНИР РТТ. </t>
  </si>
  <si>
    <t>Рег.№</t>
  </si>
  <si>
    <r>
      <t xml:space="preserve">РАНЖИРОВАННЫЙ СПИСОК ИГРОКОВ </t>
    </r>
    <r>
      <rPr>
        <b/>
        <sz val="10"/>
        <color indexed="17"/>
        <rFont val="Arial Cyr"/>
        <family val="0"/>
      </rPr>
      <t xml:space="preserve">ОСНОВНОГО ТУРНИРА </t>
    </r>
    <r>
      <rPr>
        <b/>
        <sz val="10"/>
        <rFont val="Arial Cyr"/>
        <family val="2"/>
      </rPr>
      <t xml:space="preserve">РТТ </t>
    </r>
  </si>
  <si>
    <t>СК1</t>
  </si>
  <si>
    <t>СК2</t>
  </si>
  <si>
    <t>СК3</t>
  </si>
  <si>
    <t>СК4</t>
  </si>
  <si>
    <t>Количество игроков в основной части ОТ</t>
  </si>
  <si>
    <t>Удалить игрока</t>
  </si>
  <si>
    <t>Дать СК в основу</t>
  </si>
  <si>
    <t>Дать СК в квал</t>
  </si>
  <si>
    <t>Фамилия, имя, отчество игрока</t>
  </si>
  <si>
    <t>9-10 лет</t>
  </si>
  <si>
    <t>Взрослые</t>
  </si>
  <si>
    <t>Ветераны</t>
  </si>
  <si>
    <t>Юноши/Мужчины</t>
  </si>
  <si>
    <t>Девушки/Женщины</t>
  </si>
  <si>
    <t>МТ</t>
  </si>
  <si>
    <t>ФТ</t>
  </si>
  <si>
    <t>I</t>
  </si>
  <si>
    <t>II</t>
  </si>
  <si>
    <t>III</t>
  </si>
  <si>
    <t>IV</t>
  </si>
  <si>
    <t>V</t>
  </si>
  <si>
    <t>VI</t>
  </si>
  <si>
    <t>А</t>
  </si>
  <si>
    <t>Б</t>
  </si>
  <si>
    <t>В</t>
  </si>
  <si>
    <t>Г</t>
  </si>
  <si>
    <t>10</t>
  </si>
  <si>
    <t>12</t>
  </si>
  <si>
    <t>14</t>
  </si>
  <si>
    <t>16</t>
  </si>
  <si>
    <t>18</t>
  </si>
  <si>
    <t>Пол игроков</t>
  </si>
  <si>
    <t>признак проведения жеребьевки основы</t>
  </si>
  <si>
    <t>признак проведения жеребьевки пар</t>
  </si>
  <si>
    <t>признак проведения одной из жеребьевок</t>
  </si>
  <si>
    <t>Рейтинг для расстановки игроков в таблице</t>
  </si>
  <si>
    <t>Количество свободных карт в ОТ</t>
  </si>
  <si>
    <t>Всего игроков в ОТ</t>
  </si>
  <si>
    <t>ПРОИГРАВШИЕ В 1/16 ФИНАЛА</t>
  </si>
  <si>
    <t>ПРОИГРАВШИЕ В 1/8 ФИНАЛА</t>
  </si>
  <si>
    <t>ПРОИГРАВШИЕ В 1/4 ФИНАЛА</t>
  </si>
  <si>
    <t>Проигравшие в 1-ом круге</t>
  </si>
  <si>
    <t>Проигравшие во 2-ом круге</t>
  </si>
  <si>
    <t>Победители 3-го круга</t>
  </si>
  <si>
    <t>Победители 2-го круга</t>
  </si>
  <si>
    <t>Победители 1-го круга</t>
  </si>
  <si>
    <t>Проигравшие во 3-ем круге</t>
  </si>
  <si>
    <t>ВЫСОТА ЯЧЕЕК</t>
  </si>
  <si>
    <t>КОЛИЧЕСТВО ЯЧЕЕК</t>
  </si>
  <si>
    <t>ВЫСОТА ОДНОЙ ЯЧЕЙКИ</t>
  </si>
  <si>
    <r>
      <t xml:space="preserve">Лист регистрации участников </t>
    </r>
    <r>
      <rPr>
        <b/>
        <i/>
        <sz val="12"/>
        <color indexed="17"/>
        <rFont val="Arial"/>
        <family val="2"/>
      </rPr>
      <t xml:space="preserve">основного турнира </t>
    </r>
    <r>
      <rPr>
        <b/>
        <i/>
        <sz val="12"/>
        <rFont val="Arial"/>
        <family val="2"/>
      </rPr>
      <t>личного турнира РТТ</t>
    </r>
  </si>
  <si>
    <t>ЛИСТ РЕГИСТРАЦИИ УЧАСТНИКОВ</t>
  </si>
  <si>
    <t>ОСНОВНОГО ЛИЧНОГО ТУРНИРА РТТ</t>
  </si>
  <si>
    <t>Класс:</t>
  </si>
  <si>
    <t>Фамилия, Имя, Отчество</t>
  </si>
  <si>
    <t>Оплата взноса в РТТ</t>
  </si>
  <si>
    <t>Статус игрока в турнире</t>
  </si>
  <si>
    <t>Контактный телефон на время турнира</t>
  </si>
  <si>
    <t>Вступительный взнос (руб,)</t>
  </si>
  <si>
    <t>Подпись игрока</t>
  </si>
  <si>
    <t>Регистрация окончена</t>
  </si>
  <si>
    <t>подпись</t>
  </si>
  <si>
    <t>Взнос в ОТ</t>
  </si>
  <si>
    <t>Гл.судья</t>
  </si>
  <si>
    <t>ТАБЛИЦА ОСНОВНОГО ЛИЧНОГО ТУРНИРА РТТ на 24 участника</t>
  </si>
  <si>
    <t>ЛИСТ ЗАПИСИ ИГРОКОВ НА УЧАСТИЕ В ДОПОЛНИТЕЛЬНЫХ ТУРНИРАХ</t>
  </si>
  <si>
    <t xml:space="preserve">                   ДОПОЛНИТЕЛЬНОГО ЛИЧНОГО ТУРНИРА РТТ</t>
  </si>
  <si>
    <t xml:space="preserve"> финала</t>
  </si>
  <si>
    <t>Для проигравших в 1/16 финала</t>
  </si>
  <si>
    <t>Формат таблицы</t>
  </si>
  <si>
    <t>Количество ПОЭ</t>
  </si>
  <si>
    <t>х</t>
  </si>
  <si>
    <t>проигравшие в 1/16 - без жеребьевки</t>
  </si>
  <si>
    <t>проигравшие в 1/8 - без жеребьевки</t>
  </si>
  <si>
    <t>проигравшие в 1/4 - без жеребьевки</t>
  </si>
  <si>
    <t>ЛИСТ РЕГИСТРАЦИИ ОЖИДАЮЩИХ ИГРОКОВ</t>
  </si>
  <si>
    <t>ЛИЧНОГО ТУРНИРА РТТ</t>
  </si>
  <si>
    <t xml:space="preserve">проводимого по олимпийской системе </t>
  </si>
  <si>
    <t>"Кубок Южного Урала"</t>
  </si>
  <si>
    <t>г.Челябинск</t>
  </si>
  <si>
    <t>30.04.16-06.05.16</t>
  </si>
  <si>
    <t>Зелингер М.М.</t>
  </si>
  <si>
    <t>Гутов К.Г.</t>
  </si>
  <si>
    <t>Тихонов Игорь Андреевич</t>
  </si>
  <si>
    <t>Курган</t>
  </si>
  <si>
    <t>есть</t>
  </si>
  <si>
    <t>Швайцер Денис Александрович</t>
  </si>
  <si>
    <t>Екатеринбург</t>
  </si>
  <si>
    <t>Камнск-Уральский</t>
  </si>
  <si>
    <t>Цвиклич Эрик Томасович</t>
  </si>
  <si>
    <t>Городилов Максим Вячеславович</t>
  </si>
  <si>
    <t>Челябинск</t>
  </si>
  <si>
    <t>Падерин Никита Евгеньевич</t>
  </si>
  <si>
    <t>Омск</t>
  </si>
  <si>
    <t>Фадеев Петр Евгеньевич</t>
  </si>
  <si>
    <t>Пермь</t>
  </si>
  <si>
    <t>Сегура-Онищенко Альберт</t>
  </si>
  <si>
    <t>Антипов Иван Петрович</t>
  </si>
  <si>
    <t>Шайхутдинов Владислав Альбертович</t>
  </si>
  <si>
    <t>Новиков Никита Антонович</t>
  </si>
  <si>
    <t>Юлик Владимир Максимович</t>
  </si>
  <si>
    <t>Смирнов Денис Вячеславович</t>
  </si>
  <si>
    <t>Тюмень</t>
  </si>
  <si>
    <t>Козлов Никита Юрьевич</t>
  </si>
  <si>
    <t>Хлопунов Василий Андреевич</t>
  </si>
  <si>
    <t>Борохов Сергей Олегович</t>
  </si>
  <si>
    <t>Ермаков Артем Максимивич</t>
  </si>
  <si>
    <t>Потапов Никита Олегович</t>
  </si>
  <si>
    <t>Юрков Даниил Игоревич</t>
  </si>
  <si>
    <t>ПЕРЕВАЛОВ В.О.</t>
  </si>
  <si>
    <t>основной турнир</t>
  </si>
  <si>
    <t>МАЛЬЦЕВ А.К.</t>
  </si>
  <si>
    <t>6/1 6/4</t>
  </si>
  <si>
    <t>6/0 6/0</t>
  </si>
  <si>
    <t>6/1 6/1</t>
  </si>
  <si>
    <t>6/1 6/0</t>
  </si>
  <si>
    <t>6/2 6/2</t>
  </si>
  <si>
    <t>6/1 6/2</t>
  </si>
  <si>
    <t>6/4 6/0</t>
  </si>
  <si>
    <t>6/2 6/0</t>
  </si>
  <si>
    <t>6/0 6/3</t>
  </si>
  <si>
    <t>6/4 6/4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</si>
</sst>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 mmm\ yyyy"/>
    <numFmt numFmtId="166" formatCode="0.000"/>
    <numFmt numFmtId="167" formatCode="#,##0[$р.-419]"/>
    <numFmt numFmtId="168" formatCode="#,##0&quot;р.&quot;"/>
    <numFmt numFmtId="169" formatCode="0.0"/>
    <numFmt numFmtId="170" formatCode="[$-FC19]d\ mmmm\ yyyy\ &quot;г.&quot;"/>
  </numFmts>
  <fonts count="8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vertAlign val="superscript"/>
      <sz val="8"/>
      <name val="Arial Cyr"/>
      <family val="2"/>
    </font>
    <font>
      <sz val="12"/>
      <name val="Arial Cyr"/>
      <family val="2"/>
    </font>
    <font>
      <b/>
      <sz val="12"/>
      <name val="Arial Cyr"/>
      <family val="0"/>
    </font>
    <font>
      <sz val="10"/>
      <color indexed="9"/>
      <name val="Arial Cyr"/>
      <family val="0"/>
    </font>
    <font>
      <b/>
      <sz val="7"/>
      <color indexed="10"/>
      <name val="Arial Cyr"/>
      <family val="0"/>
    </font>
    <font>
      <sz val="10"/>
      <color indexed="42"/>
      <name val="Arial Cyr"/>
      <family val="2"/>
    </font>
    <font>
      <sz val="8"/>
      <name val="Tahoma"/>
      <family val="2"/>
    </font>
    <font>
      <b/>
      <i/>
      <sz val="8"/>
      <color indexed="8"/>
      <name val="Arial"/>
      <family val="0"/>
    </font>
    <font>
      <b/>
      <sz val="11"/>
      <color indexed="18"/>
      <name val="ARIAL"/>
      <family val="0"/>
    </font>
    <font>
      <b/>
      <sz val="10"/>
      <color indexed="18"/>
      <name val="ARIAL"/>
      <family val="0"/>
    </font>
    <font>
      <sz val="10"/>
      <color indexed="18"/>
      <name val="ARIAL"/>
      <family val="0"/>
    </font>
    <font>
      <b/>
      <i/>
      <sz val="12"/>
      <color indexed="8"/>
      <name val="Arial"/>
      <family val="0"/>
    </font>
    <font>
      <sz val="12"/>
      <color indexed="8"/>
      <name val="ARIAL"/>
      <family val="0"/>
    </font>
    <font>
      <b/>
      <sz val="12"/>
      <color indexed="8"/>
      <name val="ARIAL"/>
      <family val="0"/>
    </font>
    <font>
      <b/>
      <sz val="10"/>
      <color indexed="57"/>
      <name val="Arial Cyr"/>
      <family val="0"/>
    </font>
    <font>
      <b/>
      <sz val="10"/>
      <color indexed="17"/>
      <name val="Arial Cyr"/>
      <family val="0"/>
    </font>
    <font>
      <sz val="8"/>
      <color indexed="17"/>
      <name val="Arial Cyr"/>
      <family val="2"/>
    </font>
    <font>
      <sz val="10"/>
      <color indexed="17"/>
      <name val="Arial Cyr"/>
      <family val="2"/>
    </font>
    <font>
      <b/>
      <i/>
      <sz val="12"/>
      <color indexed="17"/>
      <name val="Arial"/>
      <family val="2"/>
    </font>
    <font>
      <b/>
      <sz val="8"/>
      <color indexed="17"/>
      <name val="Arial Cyr"/>
      <family val="0"/>
    </font>
    <font>
      <b/>
      <sz val="9"/>
      <color indexed="18"/>
      <name val="ARIAL"/>
      <family val="0"/>
    </font>
    <font>
      <sz val="9"/>
      <color indexed="18"/>
      <name val="ARIAL"/>
      <family val="0"/>
    </font>
    <font>
      <sz val="26"/>
      <name val="Arial Cyr"/>
      <family val="0"/>
    </font>
    <font>
      <sz val="10"/>
      <color indexed="8"/>
      <name val="Arial Cyr"/>
      <family val="0"/>
    </font>
    <font>
      <b/>
      <sz val="10"/>
      <color indexed="8"/>
      <name val="Arial Cyr"/>
      <family val="0"/>
    </font>
    <font>
      <sz val="9"/>
      <color indexed="8"/>
      <name val="Arial Cyr"/>
      <family val="0"/>
    </font>
    <font>
      <sz val="10"/>
      <color indexed="10"/>
      <name val="Arial Cyr"/>
      <family val="0"/>
    </font>
    <font>
      <sz val="10"/>
      <color indexed="8"/>
      <name val="Arial"/>
      <family val="2"/>
    </font>
    <font>
      <b/>
      <sz val="9"/>
      <color indexed="18"/>
      <name val="Arial"/>
      <family val="2"/>
    </font>
    <font>
      <b/>
      <sz val="8"/>
      <color indexed="18"/>
      <name val="Arial"/>
      <family val="2"/>
    </font>
    <font>
      <b/>
      <sz val="10"/>
      <color indexed="23"/>
      <name val="Arial Cyr"/>
      <family val="0"/>
    </font>
    <font>
      <b/>
      <i/>
      <sz val="12"/>
      <name val="Arial"/>
      <family val="2"/>
    </font>
    <font>
      <sz val="16"/>
      <name val="Arial Cyr"/>
      <family val="0"/>
    </font>
    <font>
      <sz val="14"/>
      <name val="Arial Cyr"/>
      <family val="0"/>
    </font>
    <font>
      <b/>
      <sz val="14"/>
      <name val="Arial Cyr"/>
      <family val="0"/>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3"/>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1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8"/>
      </right>
      <top>
        <color indexed="63"/>
      </top>
      <bottom style="hair">
        <color indexed="8"/>
      </bottom>
    </border>
    <border>
      <left>
        <color indexed="63"/>
      </left>
      <right>
        <color indexed="8"/>
      </right>
      <top style="hair">
        <color indexed="8"/>
      </top>
      <bottom style="hair">
        <color indexed="8"/>
      </bottom>
    </border>
    <border>
      <left>
        <color indexed="63"/>
      </left>
      <right>
        <color indexed="63"/>
      </right>
      <top style="hair"/>
      <bottom style="hair"/>
    </border>
    <border>
      <left style="hair"/>
      <right style="hair"/>
      <top style="hair"/>
      <bottom style="hair"/>
    </border>
    <border>
      <left>
        <color indexed="63"/>
      </left>
      <right style="thin"/>
      <top style="thin"/>
      <bottom style="thin"/>
    </border>
    <border>
      <left style="hair">
        <color indexed="17"/>
      </left>
      <right style="hair">
        <color indexed="17"/>
      </right>
      <top style="hair">
        <color indexed="17"/>
      </top>
      <bottom style="hair">
        <color indexed="17"/>
      </bottom>
    </border>
    <border>
      <left style="thin"/>
      <right>
        <color indexed="63"/>
      </right>
      <top style="thin"/>
      <bottom style="thin"/>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color indexed="63"/>
      </left>
      <right>
        <color indexed="63"/>
      </right>
      <top style="thin">
        <color indexed="23"/>
      </top>
      <bottom style="thin">
        <color indexed="23"/>
      </bottom>
    </border>
    <border>
      <left>
        <color indexed="8"/>
      </left>
      <right>
        <color indexed="8"/>
      </right>
      <top style="thin"/>
      <bottom style="thin"/>
    </border>
    <border>
      <left>
        <color indexed="63"/>
      </left>
      <right>
        <color indexed="63"/>
      </right>
      <top style="hair">
        <color indexed="17"/>
      </top>
      <bottom>
        <color indexed="63"/>
      </bottom>
    </border>
    <border>
      <left>
        <color indexed="63"/>
      </left>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6" fillId="32" borderId="0" applyNumberFormat="0" applyBorder="0" applyAlignment="0" applyProtection="0"/>
  </cellStyleXfs>
  <cellXfs count="751">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7" fillId="0" borderId="0" xfId="0" applyFont="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0" fontId="0" fillId="0" borderId="0" xfId="0" applyNumberFormat="1" applyBorder="1" applyAlignment="1">
      <alignment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NumberFormat="1" applyFont="1" applyBorder="1" applyAlignment="1">
      <alignment vertical="center" wrapText="1"/>
    </xf>
    <xf numFmtId="0" fontId="7" fillId="0" borderId="0" xfId="0" applyFont="1" applyAlignment="1">
      <alignment horizontal="center" vertical="center" wrapText="1"/>
    </xf>
    <xf numFmtId="0" fontId="0" fillId="0" borderId="11" xfId="0" applyNumberFormat="1" applyFont="1" applyBorder="1" applyAlignment="1">
      <alignment horizontal="center" shrinkToFi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2"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1" xfId="0" applyFont="1" applyBorder="1" applyAlignment="1">
      <alignment vertical="center" shrinkToFit="1"/>
    </xf>
    <xf numFmtId="0" fontId="0" fillId="0" borderId="0" xfId="0" applyAlignment="1">
      <alignment horizontal="right" vertical="center"/>
    </xf>
    <xf numFmtId="0" fontId="0" fillId="0" borderId="0" xfId="0" applyFont="1" applyAlignment="1">
      <alignment/>
    </xf>
    <xf numFmtId="14" fontId="3"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0" fontId="18" fillId="0" borderId="0" xfId="0" applyFont="1" applyBorder="1" applyAlignment="1">
      <alignment horizontal="left" vertical="center"/>
    </xf>
    <xf numFmtId="0" fontId="0" fillId="0" borderId="0" xfId="0" applyFont="1" applyBorder="1" applyAlignment="1">
      <alignment horizontal="center"/>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Font="1" applyFill="1" applyAlignment="1">
      <alignment vertical="center" wrapText="1"/>
    </xf>
    <xf numFmtId="0" fontId="6" fillId="0" borderId="0" xfId="0" applyNumberFormat="1" applyFont="1" applyBorder="1" applyAlignment="1">
      <alignment horizontal="center" vertical="center" wrapText="1"/>
    </xf>
    <xf numFmtId="0" fontId="0" fillId="0" borderId="14" xfId="0" applyNumberFormat="1" applyFont="1" applyBorder="1" applyAlignment="1">
      <alignment horizontal="center" shrinkToFit="1"/>
    </xf>
    <xf numFmtId="0" fontId="13" fillId="0" borderId="0" xfId="0" applyNumberFormat="1" applyFont="1" applyBorder="1" applyAlignment="1">
      <alignment horizontal="center" vertical="center"/>
    </xf>
    <xf numFmtId="0" fontId="0" fillId="0" borderId="0" xfId="0" applyNumberFormat="1" applyFont="1" applyFill="1" applyBorder="1" applyAlignment="1">
      <alignment vertical="center" wrapText="1"/>
    </xf>
    <xf numFmtId="0" fontId="18" fillId="0" borderId="0" xfId="0" applyFont="1" applyBorder="1" applyAlignment="1" applyProtection="1">
      <alignment horizontal="center" vertical="center"/>
      <protection/>
    </xf>
    <xf numFmtId="0" fontId="12" fillId="0" borderId="0" xfId="0" applyFont="1" applyBorder="1" applyAlignment="1">
      <alignment horizontal="center" vertical="center"/>
    </xf>
    <xf numFmtId="0" fontId="3" fillId="0" borderId="0" xfId="0" applyFont="1" applyBorder="1" applyAlignment="1">
      <alignment/>
    </xf>
    <xf numFmtId="0" fontId="3" fillId="0" borderId="0" xfId="0" applyFont="1" applyAlignment="1">
      <alignment horizontal="center"/>
    </xf>
    <xf numFmtId="0" fontId="0" fillId="0" borderId="0" xfId="0" applyFont="1" applyBorder="1" applyAlignment="1" applyProtection="1">
      <alignment horizontal="center"/>
      <protection/>
    </xf>
    <xf numFmtId="0" fontId="3" fillId="0" borderId="0" xfId="0" applyNumberFormat="1" applyFont="1" applyAlignment="1">
      <alignment horizontal="right"/>
    </xf>
    <xf numFmtId="0" fontId="3" fillId="0" borderId="0" xfId="0" applyFont="1" applyAlignment="1">
      <alignment/>
    </xf>
    <xf numFmtId="0" fontId="0" fillId="0" borderId="0" xfId="0" applyNumberFormat="1" applyFont="1" applyBorder="1" applyAlignment="1">
      <alignment horizontal="center" vertical="center" wrapText="1"/>
    </xf>
    <xf numFmtId="0" fontId="7" fillId="0" borderId="0" xfId="0" applyFont="1" applyBorder="1" applyAlignment="1" applyProtection="1">
      <alignment horizontal="center" shrinkToFit="1"/>
      <protection/>
    </xf>
    <xf numFmtId="0" fontId="7" fillId="0" borderId="0" xfId="0" applyNumberFormat="1" applyFont="1" applyBorder="1" applyAlignment="1" applyProtection="1">
      <alignment horizontal="left" shrinkToFit="1"/>
      <protection/>
    </xf>
    <xf numFmtId="0" fontId="7" fillId="0" borderId="0" xfId="0" applyNumberFormat="1" applyFont="1" applyBorder="1" applyAlignment="1" applyProtection="1">
      <alignment horizontal="center" shrinkToFit="1"/>
      <protection/>
    </xf>
    <xf numFmtId="0" fontId="3" fillId="0" borderId="0" xfId="0" applyNumberFormat="1" applyFont="1" applyBorder="1" applyAlignment="1">
      <alignment vertical="center" shrinkToFit="1"/>
    </xf>
    <xf numFmtId="0" fontId="3" fillId="0" borderId="0" xfId="0" applyNumberFormat="1" applyFont="1" applyAlignment="1">
      <alignment horizontal="center" vertical="top" shrinkToFit="1"/>
    </xf>
    <xf numFmtId="0" fontId="0" fillId="0" borderId="0" xfId="0" applyNumberFormat="1" applyFont="1" applyAlignment="1">
      <alignment horizontal="right"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shrinkToFit="1"/>
      <protection/>
    </xf>
    <xf numFmtId="0" fontId="0" fillId="0" borderId="0" xfId="0" applyNumberFormat="1" applyBorder="1" applyAlignment="1" applyProtection="1">
      <alignment horizontal="center" shrinkToFit="1"/>
      <protection/>
    </xf>
    <xf numFmtId="0" fontId="0" fillId="0" borderId="14" xfId="0" applyNumberFormat="1" applyBorder="1" applyAlignment="1">
      <alignment shrinkToFit="1"/>
    </xf>
    <xf numFmtId="0" fontId="0" fillId="0" borderId="14" xfId="0" applyNumberFormat="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7" fillId="0" borderId="0" xfId="0" applyNumberFormat="1" applyFont="1" applyAlignment="1">
      <alignment vertical="center" wrapText="1"/>
    </xf>
    <xf numFmtId="0" fontId="3" fillId="0" borderId="0" xfId="0" applyFont="1" applyAlignment="1">
      <alignment shrinkToFit="1"/>
    </xf>
    <xf numFmtId="0" fontId="7" fillId="0" borderId="15" xfId="0" applyFont="1" applyBorder="1" applyAlignment="1">
      <alignment horizontal="center" vertical="center" shrinkToFit="1"/>
    </xf>
    <xf numFmtId="0" fontId="7" fillId="0" borderId="0" xfId="0" applyNumberFormat="1" applyFont="1" applyBorder="1" applyAlignment="1">
      <alignment horizontal="center" vertical="center"/>
    </xf>
    <xf numFmtId="0" fontId="0" fillId="0" borderId="0" xfId="0" applyNumberFormat="1" applyFont="1" applyBorder="1" applyAlignment="1">
      <alignment horizontal="left" shrinkToFit="1"/>
    </xf>
    <xf numFmtId="0" fontId="0" fillId="0" borderId="0" xfId="0" applyBorder="1" applyAlignment="1">
      <alignment/>
    </xf>
    <xf numFmtId="0" fontId="5" fillId="0" borderId="0" xfId="0" applyNumberFormat="1" applyFont="1" applyAlignment="1">
      <alignment horizontal="left" vertical="center"/>
    </xf>
    <xf numFmtId="0" fontId="7"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14" xfId="0" applyNumberFormat="1" applyFont="1" applyBorder="1" applyAlignment="1">
      <alignment wrapText="1"/>
    </xf>
    <xf numFmtId="0" fontId="0" fillId="0" borderId="14" xfId="0" applyNumberFormat="1" applyBorder="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Border="1" applyAlignment="1">
      <alignment horizontal="left" vertical="center"/>
    </xf>
    <xf numFmtId="0" fontId="0" fillId="0" borderId="0" xfId="0" applyNumberFormat="1" applyAlignment="1">
      <alignment horizontal="left" vertical="center"/>
    </xf>
    <xf numFmtId="0" fontId="0" fillId="0" borderId="0" xfId="0" applyNumberFormat="1" applyFont="1" applyAlignment="1">
      <alignment vertical="top"/>
    </xf>
    <xf numFmtId="0" fontId="0" fillId="0" borderId="0" xfId="0" applyNumberFormat="1" applyBorder="1" applyAlignment="1">
      <alignment vertical="top" wrapText="1"/>
    </xf>
    <xf numFmtId="0" fontId="0" fillId="0" borderId="0" xfId="0" applyNumberFormat="1" applyFont="1" applyBorder="1" applyAlignment="1">
      <alignment vertical="top" wrapText="1"/>
    </xf>
    <xf numFmtId="0" fontId="0" fillId="0" borderId="0" xfId="0" applyNumberFormat="1" applyBorder="1" applyAlignment="1">
      <alignment vertical="top"/>
    </xf>
    <xf numFmtId="0" fontId="0" fillId="0" borderId="0" xfId="0" applyNumberFormat="1" applyFill="1" applyBorder="1" applyAlignment="1">
      <alignment vertical="center"/>
    </xf>
    <xf numFmtId="0" fontId="3" fillId="0" borderId="0" xfId="0" applyNumberFormat="1" applyFont="1" applyBorder="1" applyAlignment="1">
      <alignment horizontal="center" vertical="center" shrinkToFit="1"/>
    </xf>
    <xf numFmtId="0" fontId="0" fillId="0" borderId="0" xfId="0" applyNumberFormat="1" applyFont="1" applyAlignment="1">
      <alignment vertical="top" shrinkToFit="1"/>
    </xf>
    <xf numFmtId="0" fontId="0" fillId="0" borderId="0" xfId="0" applyNumberFormat="1" applyFont="1" applyBorder="1" applyAlignment="1" applyProtection="1">
      <alignment vertical="top" shrinkToFit="1"/>
      <protection/>
    </xf>
    <xf numFmtId="0" fontId="0" fillId="0" borderId="0"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4" xfId="0" applyNumberFormat="1" applyBorder="1" applyAlignment="1">
      <alignment horizontal="center" wrapText="1"/>
    </xf>
    <xf numFmtId="0" fontId="0" fillId="0" borderId="0" xfId="0" applyNumberFormat="1" applyBorder="1" applyAlignment="1">
      <alignment horizontal="center" wrapText="1"/>
    </xf>
    <xf numFmtId="0" fontId="0" fillId="0" borderId="14" xfId="0" applyNumberFormat="1" applyFont="1" applyBorder="1" applyAlignment="1">
      <alignment shrinkToFit="1"/>
    </xf>
    <xf numFmtId="0" fontId="0" fillId="0" borderId="0" xfId="0" applyNumberFormat="1" applyAlignment="1">
      <alignment vertical="center" shrinkToFit="1"/>
    </xf>
    <xf numFmtId="0" fontId="0" fillId="0" borderId="14" xfId="0" applyNumberFormat="1" applyBorder="1" applyAlignment="1">
      <alignment horizontal="center" shrinkToFit="1"/>
    </xf>
    <xf numFmtId="0" fontId="0" fillId="0" borderId="0" xfId="0" applyNumberFormat="1" applyBorder="1" applyAlignment="1">
      <alignment vertical="center" shrinkToFit="1"/>
    </xf>
    <xf numFmtId="0" fontId="3" fillId="0" borderId="0" xfId="0" applyNumberFormat="1" applyFont="1" applyAlignment="1" applyProtection="1">
      <alignment horizontal="left"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3" fillId="0" borderId="0" xfId="0" applyNumberFormat="1" applyFont="1" applyAlignment="1">
      <alignment/>
    </xf>
    <xf numFmtId="0" fontId="0" fillId="0" borderId="0" xfId="0" applyNumberFormat="1" applyFont="1" applyAlignment="1">
      <alignment shrinkToFit="1"/>
    </xf>
    <xf numFmtId="0" fontId="0" fillId="0" borderId="0" xfId="0" applyNumberFormat="1" applyFont="1" applyAlignment="1">
      <alignment horizontal="left"/>
    </xf>
    <xf numFmtId="0" fontId="4" fillId="0" borderId="0" xfId="0" applyNumberFormat="1" applyFont="1" applyAlignment="1">
      <alignment wrapText="1"/>
    </xf>
    <xf numFmtId="0" fontId="0" fillId="0" borderId="0" xfId="0" applyNumberFormat="1" applyFont="1" applyAlignment="1">
      <alignment wrapText="1"/>
    </xf>
    <xf numFmtId="0" fontId="0" fillId="0" borderId="0" xfId="0" applyNumberFormat="1" applyFont="1" applyAlignment="1">
      <alignment horizontal="left" shrinkToFit="1"/>
    </xf>
    <xf numFmtId="0" fontId="0" fillId="0" borderId="0" xfId="0" applyNumberFormat="1" applyFont="1" applyAlignment="1">
      <alignment/>
    </xf>
    <xf numFmtId="0" fontId="22" fillId="33" borderId="14"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shrinkToFit="1"/>
      <protection locked="0"/>
    </xf>
    <xf numFmtId="0" fontId="22" fillId="33" borderId="0" xfId="0" applyNumberFormat="1" applyFont="1" applyFill="1" applyBorder="1" applyAlignment="1" applyProtection="1">
      <alignment horizontal="left" shrinkToFit="1"/>
      <protection locked="0"/>
    </xf>
    <xf numFmtId="0" fontId="22" fillId="33" borderId="16" xfId="0" applyNumberFormat="1" applyFont="1" applyFill="1" applyBorder="1" applyAlignment="1" applyProtection="1">
      <alignment horizontal="center" shrinkToFit="1"/>
      <protection locked="0"/>
    </xf>
    <xf numFmtId="0" fontId="22" fillId="33" borderId="14" xfId="0" applyNumberFormat="1" applyFont="1" applyFill="1" applyBorder="1" applyAlignment="1" applyProtection="1">
      <alignment horizontal="center" shrinkToFit="1"/>
      <protection locked="0"/>
    </xf>
    <xf numFmtId="0" fontId="22" fillId="33" borderId="17" xfId="0" applyNumberFormat="1" applyFont="1" applyFill="1" applyBorder="1" applyAlignment="1" applyProtection="1">
      <alignment vertical="top" shrinkToFit="1"/>
      <protection locked="0"/>
    </xf>
    <xf numFmtId="0" fontId="22" fillId="33" borderId="14" xfId="0" applyNumberFormat="1" applyFont="1" applyFill="1" applyBorder="1" applyAlignment="1" applyProtection="1">
      <alignment horizontal="left" shrinkToFit="1"/>
      <protection locked="0"/>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6"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49" fontId="0" fillId="0" borderId="0" xfId="0" applyNumberFormat="1" applyFont="1" applyBorder="1" applyAlignment="1" applyProtection="1">
      <alignment horizontal="center" shrinkToFit="1"/>
      <protection/>
    </xf>
    <xf numFmtId="0" fontId="0" fillId="0" borderId="14" xfId="0" applyNumberFormat="1" applyFont="1" applyBorder="1" applyAlignment="1" applyProtection="1">
      <alignment horizontal="center" vertical="top" shrinkToFit="1"/>
      <protection/>
    </xf>
    <xf numFmtId="49" fontId="0" fillId="0" borderId="14" xfId="0" applyNumberFormat="1" applyFont="1" applyBorder="1" applyAlignment="1" applyProtection="1">
      <alignment horizontal="center" shrinkToFit="1"/>
      <protection/>
    </xf>
    <xf numFmtId="0" fontId="3" fillId="0" borderId="0" xfId="0" applyNumberFormat="1" applyFont="1" applyBorder="1" applyAlignment="1" applyProtection="1">
      <alignment vertical="center" shrinkToFit="1"/>
      <protection/>
    </xf>
    <xf numFmtId="0" fontId="0" fillId="0" borderId="0" xfId="0" applyFont="1" applyAlignment="1">
      <alignment shrinkToFit="1"/>
    </xf>
    <xf numFmtId="0" fontId="0" fillId="0" borderId="0" xfId="0" applyAlignment="1">
      <alignment shrinkToFit="1"/>
    </xf>
    <xf numFmtId="0" fontId="0" fillId="0" borderId="0" xfId="0" applyAlignment="1">
      <alignment horizontal="center" shrinkToFit="1"/>
    </xf>
    <xf numFmtId="0" fontId="0" fillId="0" borderId="0" xfId="0" applyBorder="1" applyAlignment="1">
      <alignment horizontal="left" vertical="center" shrinkToFit="1"/>
    </xf>
    <xf numFmtId="0" fontId="0" fillId="0" borderId="0" xfId="0" applyBorder="1" applyAlignment="1">
      <alignment horizontal="center" vertical="center" shrinkToFit="1"/>
    </xf>
    <xf numFmtId="0" fontId="0" fillId="0" borderId="0" xfId="0" applyFont="1" applyBorder="1" applyAlignment="1">
      <alignment shrinkToFit="1"/>
    </xf>
    <xf numFmtId="0" fontId="0" fillId="0" borderId="0" xfId="0" applyBorder="1" applyAlignment="1">
      <alignment shrinkToFit="1"/>
    </xf>
    <xf numFmtId="0" fontId="3" fillId="0" borderId="10"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0" xfId="0" applyBorder="1" applyAlignment="1">
      <alignment vertical="center" wrapText="1"/>
    </xf>
    <xf numFmtId="0" fontId="25" fillId="0" borderId="0" xfId="54" applyFont="1" applyAlignment="1">
      <alignment horizontal="left" vertical="top"/>
      <protection/>
    </xf>
    <xf numFmtId="0" fontId="16" fillId="0" borderId="0" xfId="54">
      <alignment vertical="top"/>
      <protection/>
    </xf>
    <xf numFmtId="0" fontId="26" fillId="0" borderId="0" xfId="54" applyFont="1" applyAlignment="1">
      <alignment horizontal="left" vertical="top"/>
      <protection/>
    </xf>
    <xf numFmtId="0" fontId="27" fillId="0" borderId="0" xfId="54" applyFont="1" applyAlignment="1">
      <alignment horizontal="left" vertical="top"/>
      <protection/>
    </xf>
    <xf numFmtId="14" fontId="27" fillId="0" borderId="0" xfId="54" applyNumberFormat="1" applyFont="1" applyAlignment="1">
      <alignment horizontal="left" vertical="top"/>
      <protection/>
    </xf>
    <xf numFmtId="0" fontId="16" fillId="0" borderId="0" xfId="54" applyFill="1">
      <alignment vertical="top"/>
      <protection/>
    </xf>
    <xf numFmtId="0" fontId="16" fillId="0" borderId="0" xfId="54" applyAlignment="1">
      <alignment horizontal="center" vertical="top" readingOrder="1"/>
      <protection/>
    </xf>
    <xf numFmtId="0" fontId="16" fillId="0" borderId="0" xfId="54" applyAlignment="1">
      <alignment horizontal="center" vertical="top"/>
      <protection/>
    </xf>
    <xf numFmtId="0" fontId="16" fillId="0" borderId="0" xfId="54" applyAlignment="1">
      <alignment vertical="center" wrapText="1"/>
      <protection/>
    </xf>
    <xf numFmtId="0" fontId="25" fillId="0" borderId="0" xfId="54" applyFont="1" applyAlignment="1">
      <alignment horizontal="center" vertical="top"/>
      <protection/>
    </xf>
    <xf numFmtId="0" fontId="26" fillId="0" borderId="0" xfId="54" applyFont="1" applyAlignment="1">
      <alignment horizontal="center" vertical="top"/>
      <protection/>
    </xf>
    <xf numFmtId="0" fontId="27" fillId="0" borderId="0" xfId="54" applyFont="1" applyAlignment="1">
      <alignment horizontal="center" vertical="top"/>
      <protection/>
    </xf>
    <xf numFmtId="0" fontId="16" fillId="0" borderId="0" xfId="54" applyBorder="1">
      <alignment vertical="top"/>
      <protection/>
    </xf>
    <xf numFmtId="14" fontId="16" fillId="0" borderId="0" xfId="54" applyNumberFormat="1" applyBorder="1">
      <alignment vertical="top"/>
      <protection/>
    </xf>
    <xf numFmtId="0" fontId="16" fillId="0" borderId="0" xfId="54" applyBorder="1" applyAlignment="1">
      <alignment horizontal="center" vertical="top"/>
      <protection/>
    </xf>
    <xf numFmtId="0" fontId="29" fillId="0" borderId="0" xfId="54" applyFont="1" applyFill="1" applyBorder="1" applyAlignment="1">
      <alignment vertical="center"/>
      <protection/>
    </xf>
    <xf numFmtId="0" fontId="29" fillId="0" borderId="0" xfId="54" applyFont="1" applyFill="1" applyAlignment="1">
      <alignment vertical="center"/>
      <protection/>
    </xf>
    <xf numFmtId="0" fontId="16" fillId="0" borderId="0" xfId="54" applyAlignment="1">
      <alignment horizontal="center" vertical="top" shrinkToFit="1" readingOrder="1"/>
      <protection/>
    </xf>
    <xf numFmtId="0" fontId="29" fillId="0" borderId="18" xfId="54" applyFont="1" applyFill="1" applyBorder="1" applyAlignment="1">
      <alignment horizontal="center" vertical="center" shrinkToFit="1" readingOrder="1"/>
      <protection/>
    </xf>
    <xf numFmtId="0" fontId="29" fillId="0" borderId="18" xfId="54" applyFont="1" applyFill="1" applyBorder="1" applyAlignment="1">
      <alignment horizontal="center" vertical="center" readingOrder="1"/>
      <protection/>
    </xf>
    <xf numFmtId="0" fontId="16" fillId="0" borderId="0" xfId="54" applyFill="1" applyBorder="1" applyAlignment="1">
      <alignment horizontal="center" vertical="top" shrinkToFit="1" readingOrder="1"/>
      <protection/>
    </xf>
    <xf numFmtId="0" fontId="16" fillId="0" borderId="0" xfId="54" applyFont="1" applyFill="1" applyBorder="1" applyAlignment="1">
      <alignment horizontal="center" vertical="top" readingOrder="1"/>
      <protection/>
    </xf>
    <xf numFmtId="0" fontId="16" fillId="0" borderId="0" xfId="54" applyFill="1" applyBorder="1">
      <alignment vertical="top"/>
      <protection/>
    </xf>
    <xf numFmtId="0" fontId="16" fillId="0" borderId="0" xfId="54" applyFill="1" applyBorder="1" applyAlignment="1">
      <alignment horizontal="center" vertical="top"/>
      <protection/>
    </xf>
    <xf numFmtId="0" fontId="29" fillId="0" borderId="19" xfId="54" applyFont="1" applyFill="1" applyBorder="1" applyAlignment="1">
      <alignment horizontal="center" vertical="center" shrinkToFit="1" readingOrder="1"/>
      <protection/>
    </xf>
    <xf numFmtId="0" fontId="29" fillId="0" borderId="19" xfId="54" applyFont="1" applyFill="1" applyBorder="1" applyAlignment="1">
      <alignment horizontal="center" vertical="center" readingOrder="1"/>
      <protection/>
    </xf>
    <xf numFmtId="0" fontId="16" fillId="34" borderId="0" xfId="54" applyFill="1" applyBorder="1" applyAlignment="1">
      <alignment horizontal="center" vertical="top"/>
      <protection/>
    </xf>
    <xf numFmtId="0" fontId="16" fillId="35" borderId="0" xfId="54" applyFill="1" applyBorder="1" applyAlignment="1">
      <alignment horizontal="center" vertical="top"/>
      <protection/>
    </xf>
    <xf numFmtId="0" fontId="0" fillId="0" borderId="0" xfId="0" applyBorder="1" applyAlignment="1">
      <alignment horizontal="center" vertical="center" textRotation="90"/>
    </xf>
    <xf numFmtId="0" fontId="29" fillId="0" borderId="18" xfId="54" applyFont="1" applyFill="1" applyBorder="1" applyAlignment="1" applyProtection="1">
      <alignment horizontal="left" vertical="center" shrinkToFit="1"/>
      <protection locked="0"/>
    </xf>
    <xf numFmtId="0" fontId="29" fillId="0" borderId="18" xfId="54" applyFont="1" applyFill="1" applyBorder="1" applyAlignment="1" applyProtection="1">
      <alignment horizontal="center" vertical="center" shrinkToFit="1"/>
      <protection locked="0"/>
    </xf>
    <xf numFmtId="14" fontId="29" fillId="0" borderId="18" xfId="54" applyNumberFormat="1" applyFont="1" applyFill="1" applyBorder="1" applyAlignment="1" applyProtection="1">
      <alignment horizontal="center" vertical="center" shrinkToFit="1"/>
      <protection locked="0"/>
    </xf>
    <xf numFmtId="0" fontId="29" fillId="0" borderId="18" xfId="54" applyFont="1" applyFill="1" applyBorder="1" applyAlignment="1" applyProtection="1">
      <alignment horizontal="center" vertical="center"/>
      <protection locked="0"/>
    </xf>
    <xf numFmtId="0" fontId="29" fillId="0" borderId="19" xfId="54" applyFont="1" applyFill="1" applyBorder="1" applyAlignment="1" applyProtection="1">
      <alignment horizontal="left" vertical="center" shrinkToFit="1"/>
      <protection locked="0"/>
    </xf>
    <xf numFmtId="0" fontId="29" fillId="0" borderId="19" xfId="54" applyFont="1" applyFill="1" applyBorder="1" applyAlignment="1" applyProtection="1">
      <alignment horizontal="center" vertical="center" shrinkToFit="1"/>
      <protection locked="0"/>
    </xf>
    <xf numFmtId="14" fontId="29" fillId="0" borderId="19" xfId="54" applyNumberFormat="1" applyFont="1" applyFill="1" applyBorder="1" applyAlignment="1" applyProtection="1">
      <alignment horizontal="center" vertical="center" shrinkToFit="1"/>
      <protection locked="0"/>
    </xf>
    <xf numFmtId="0" fontId="29" fillId="0" borderId="19" xfId="54" applyFont="1" applyFill="1" applyBorder="1" applyAlignment="1" applyProtection="1">
      <alignment horizontal="center" vertical="center"/>
      <protection locked="0"/>
    </xf>
    <xf numFmtId="0" fontId="19" fillId="0" borderId="0" xfId="0" applyFont="1" applyAlignment="1">
      <alignment vertical="center"/>
    </xf>
    <xf numFmtId="0" fontId="0" fillId="0" borderId="20" xfId="0" applyFont="1" applyFill="1" applyBorder="1" applyAlignment="1">
      <alignment vertical="center"/>
    </xf>
    <xf numFmtId="0" fontId="6" fillId="0" borderId="21" xfId="0" applyFont="1" applyFill="1" applyBorder="1" applyAlignment="1">
      <alignment horizontal="center" vertical="center" wrapText="1"/>
    </xf>
    <xf numFmtId="0" fontId="11" fillId="0" borderId="21" xfId="0" applyFont="1" applyFill="1" applyBorder="1" applyAlignment="1">
      <alignment horizontal="center" vertical="center" wrapText="1"/>
    </xf>
    <xf numFmtId="14" fontId="16" fillId="0" borderId="0" xfId="54" applyNumberFormat="1">
      <alignment vertical="top"/>
      <protection/>
    </xf>
    <xf numFmtId="14" fontId="16" fillId="0" borderId="0" xfId="54" applyNumberFormat="1" applyFill="1" applyBorder="1">
      <alignment vertical="top"/>
      <protection/>
    </xf>
    <xf numFmtId="14" fontId="25" fillId="0" borderId="0" xfId="54" applyNumberFormat="1" applyFont="1" applyAlignment="1">
      <alignment horizontal="left" vertical="top"/>
      <protection/>
    </xf>
    <xf numFmtId="14" fontId="26" fillId="0" borderId="0" xfId="54" applyNumberFormat="1" applyFont="1" applyAlignment="1">
      <alignment horizontal="left" vertical="top"/>
      <protection/>
    </xf>
    <xf numFmtId="0" fontId="0" fillId="0" borderId="20" xfId="0" applyFont="1" applyFill="1" applyBorder="1" applyAlignment="1" applyProtection="1">
      <alignment horizontal="center" vertical="center" shrinkToFit="1"/>
      <protection locked="0"/>
    </xf>
    <xf numFmtId="0" fontId="0" fillId="36" borderId="0" xfId="0" applyFill="1" applyAlignment="1">
      <alignment horizontal="center"/>
    </xf>
    <xf numFmtId="0" fontId="0" fillId="36" borderId="0" xfId="0" applyNumberFormat="1" applyFill="1" applyAlignment="1">
      <alignment horizontal="center"/>
    </xf>
    <xf numFmtId="0" fontId="16" fillId="34" borderId="0" xfId="54" applyFill="1" applyAlignment="1">
      <alignment horizontal="center" vertical="top" shrinkToFit="1" readingOrder="1"/>
      <protection/>
    </xf>
    <xf numFmtId="0" fontId="16" fillId="34" borderId="0" xfId="54" applyFill="1" applyAlignment="1">
      <alignment horizontal="center" vertical="top" readingOrder="1"/>
      <protection/>
    </xf>
    <xf numFmtId="0" fontId="16" fillId="34" borderId="0" xfId="54" applyFill="1">
      <alignment vertical="top"/>
      <protection/>
    </xf>
    <xf numFmtId="0" fontId="16" fillId="34" borderId="0" xfId="54" applyFill="1" applyAlignment="1">
      <alignment horizontal="center" vertical="top"/>
      <protection/>
    </xf>
    <xf numFmtId="14" fontId="16" fillId="34" borderId="0" xfId="54" applyNumberFormat="1" applyFill="1">
      <alignment vertical="top"/>
      <protection/>
    </xf>
    <xf numFmtId="0" fontId="16" fillId="34" borderId="0" xfId="54" applyFill="1" applyBorder="1">
      <alignment vertical="top"/>
      <protection/>
    </xf>
    <xf numFmtId="14" fontId="29" fillId="0" borderId="19" xfId="54" applyNumberFormat="1" applyFont="1" applyFill="1" applyBorder="1" applyAlignment="1" applyProtection="1">
      <alignment horizontal="center" vertical="center"/>
      <protection locked="0"/>
    </xf>
    <xf numFmtId="0" fontId="3" fillId="0" borderId="22" xfId="0" applyFont="1" applyBorder="1" applyAlignment="1">
      <alignment horizontal="center" vertical="center" wrapText="1"/>
    </xf>
    <xf numFmtId="0" fontId="16" fillId="37" borderId="0" xfId="54" applyFill="1" applyBorder="1">
      <alignment vertical="top"/>
      <protection/>
    </xf>
    <xf numFmtId="0" fontId="16" fillId="37" borderId="0" xfId="54" applyFill="1">
      <alignment vertical="top"/>
      <protection/>
    </xf>
    <xf numFmtId="0" fontId="16" fillId="33" borderId="0" xfId="54" applyFill="1" applyBorder="1">
      <alignment vertical="top"/>
      <protection/>
    </xf>
    <xf numFmtId="0" fontId="16" fillId="33" borderId="0" xfId="54" applyFill="1">
      <alignment vertical="top"/>
      <protection/>
    </xf>
    <xf numFmtId="0" fontId="3" fillId="0" borderId="16" xfId="0" applyFont="1" applyBorder="1" applyAlignment="1">
      <alignment horizontal="center" vertical="center" wrapText="1"/>
    </xf>
    <xf numFmtId="0" fontId="0" fillId="38" borderId="0" xfId="0" applyFill="1" applyBorder="1" applyAlignment="1">
      <alignment vertical="center" wrapText="1"/>
    </xf>
    <xf numFmtId="0" fontId="0" fillId="38" borderId="0" xfId="0" applyFill="1" applyAlignment="1">
      <alignment vertical="center" wrapText="1"/>
    </xf>
    <xf numFmtId="14" fontId="7" fillId="38" borderId="0" xfId="0" applyNumberFormat="1" applyFont="1" applyFill="1" applyAlignment="1">
      <alignment horizontal="center" vertical="center" wrapText="1"/>
    </xf>
    <xf numFmtId="0" fontId="0" fillId="0" borderId="0" xfId="0"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Font="1" applyAlignment="1" applyProtection="1">
      <alignment shrinkToFit="1"/>
      <protection/>
    </xf>
    <xf numFmtId="0" fontId="0" fillId="0" borderId="0" xfId="0" applyAlignment="1" applyProtection="1">
      <alignment shrinkToFit="1"/>
      <protection/>
    </xf>
    <xf numFmtId="0" fontId="33" fillId="0" borderId="23" xfId="0" applyFont="1" applyBorder="1" applyAlignment="1">
      <alignment horizontal="center" vertical="center" wrapText="1"/>
    </xf>
    <xf numFmtId="0" fontId="34" fillId="0" borderId="23" xfId="0" applyFont="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16" fillId="34" borderId="0" xfId="54" applyFill="1" applyBorder="1" applyAlignment="1" applyProtection="1">
      <alignment horizontal="center" vertical="top"/>
      <protection locked="0"/>
    </xf>
    <xf numFmtId="0" fontId="0" fillId="33" borderId="0" xfId="0" applyFont="1" applyFill="1" applyAlignment="1">
      <alignment shrinkToFit="1"/>
    </xf>
    <xf numFmtId="0" fontId="0" fillId="38" borderId="0" xfId="0" applyFill="1" applyAlignment="1">
      <alignment/>
    </xf>
    <xf numFmtId="0" fontId="0" fillId="38" borderId="0" xfId="0" applyFill="1" applyBorder="1" applyAlignment="1">
      <alignment horizontal="center" vertical="center"/>
    </xf>
    <xf numFmtId="0" fontId="0" fillId="38" borderId="0" xfId="0" applyFill="1" applyBorder="1" applyAlignment="1">
      <alignment horizontal="center" vertical="center" textRotation="90"/>
    </xf>
    <xf numFmtId="0" fontId="0" fillId="38" borderId="0" xfId="0" applyFont="1" applyFill="1" applyAlignment="1">
      <alignment shrinkToFit="1"/>
    </xf>
    <xf numFmtId="0" fontId="0" fillId="38" borderId="0" xfId="0" applyFont="1" applyFill="1" applyBorder="1" applyAlignment="1">
      <alignment horizontal="center" vertical="center" shrinkToFit="1"/>
    </xf>
    <xf numFmtId="0" fontId="0" fillId="38" borderId="0" xfId="0" applyFill="1" applyAlignment="1">
      <alignment shrinkToFit="1"/>
    </xf>
    <xf numFmtId="0" fontId="0" fillId="38" borderId="0" xfId="0" applyFill="1" applyBorder="1" applyAlignment="1">
      <alignment horizontal="center" vertical="center" shrinkToFit="1"/>
    </xf>
    <xf numFmtId="14" fontId="16" fillId="39" borderId="0" xfId="54" applyNumberFormat="1" applyFill="1">
      <alignment vertical="top"/>
      <protection/>
    </xf>
    <xf numFmtId="0" fontId="16" fillId="39" borderId="0" xfId="54" applyFill="1" applyAlignment="1">
      <alignment horizontal="center" vertical="top"/>
      <protection/>
    </xf>
    <xf numFmtId="0" fontId="16" fillId="39" borderId="0" xfId="54" applyFill="1">
      <alignment vertical="top"/>
      <protection/>
    </xf>
    <xf numFmtId="0" fontId="16" fillId="39" borderId="0" xfId="54" applyFill="1" applyBorder="1">
      <alignment vertical="top"/>
      <protection/>
    </xf>
    <xf numFmtId="0" fontId="0" fillId="0" borderId="10" xfId="0" applyFont="1" applyBorder="1" applyAlignment="1" applyProtection="1">
      <alignment horizontal="center" vertical="center" shrinkToFit="1"/>
      <protection/>
    </xf>
    <xf numFmtId="0" fontId="0" fillId="0" borderId="24" xfId="0" applyBorder="1" applyAlignment="1" applyProtection="1">
      <alignment horizontal="center" vertical="center" shrinkToFit="1"/>
      <protection locked="0"/>
    </xf>
    <xf numFmtId="0" fontId="0" fillId="0" borderId="10" xfId="0" applyBorder="1" applyAlignment="1" applyProtection="1">
      <alignment horizontal="left" vertical="center" shrinkToFit="1"/>
      <protection locked="0"/>
    </xf>
    <xf numFmtId="0" fontId="0" fillId="0" borderId="22" xfId="0" applyBorder="1" applyAlignment="1" applyProtection="1">
      <alignment horizontal="left" vertical="center" shrinkToFit="1"/>
      <protection locked="0"/>
    </xf>
    <xf numFmtId="14" fontId="0" fillId="0" borderId="10" xfId="0" applyNumberFormat="1" applyBorder="1" applyAlignment="1" applyProtection="1">
      <alignment horizontal="center" vertical="center" shrinkToFit="1"/>
      <protection locked="0"/>
    </xf>
    <xf numFmtId="14" fontId="0" fillId="0" borderId="10" xfId="0" applyNumberFormat="1"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0" xfId="0" applyBorder="1" applyAlignment="1" applyProtection="1">
      <alignment horizontal="center" vertical="center" shrinkToFit="1"/>
      <protection locked="0"/>
    </xf>
    <xf numFmtId="0" fontId="29" fillId="38" borderId="19" xfId="54" applyFont="1" applyFill="1" applyBorder="1" applyAlignment="1">
      <alignment horizontal="center" vertical="center" shrinkToFit="1" readingOrder="1"/>
      <protection/>
    </xf>
    <xf numFmtId="0" fontId="16" fillId="34" borderId="11" xfId="54" applyFill="1" applyBorder="1" applyAlignment="1">
      <alignment horizontal="center" vertical="center"/>
      <protection/>
    </xf>
    <xf numFmtId="0" fontId="16" fillId="34" borderId="11" xfId="54" applyFill="1" applyBorder="1" applyAlignment="1">
      <alignment vertical="center"/>
      <protection/>
    </xf>
    <xf numFmtId="14" fontId="16" fillId="34" borderId="11" xfId="54" applyNumberFormat="1" applyFill="1" applyBorder="1" applyAlignment="1">
      <alignment vertical="center"/>
      <protection/>
    </xf>
    <xf numFmtId="0" fontId="29" fillId="0" borderId="0" xfId="54" applyFont="1" applyFill="1" applyBorder="1" applyAlignment="1" applyProtection="1">
      <alignment horizontal="center" vertical="center" shrinkToFit="1" readingOrder="1"/>
      <protection/>
    </xf>
    <xf numFmtId="0" fontId="29" fillId="0" borderId="0" xfId="54" applyFont="1" applyFill="1" applyBorder="1" applyAlignment="1" applyProtection="1">
      <alignment horizontal="center" vertical="center" readingOrder="1"/>
      <protection/>
    </xf>
    <xf numFmtId="0" fontId="30" fillId="0" borderId="0" xfId="54" applyFont="1" applyFill="1" applyBorder="1" applyAlignment="1" applyProtection="1">
      <alignment horizontal="center" vertical="center" shrinkToFit="1"/>
      <protection/>
    </xf>
    <xf numFmtId="0" fontId="29" fillId="0" borderId="0" xfId="54" applyFont="1" applyFill="1" applyBorder="1" applyAlignment="1" applyProtection="1">
      <alignment horizontal="left" vertical="center" shrinkToFit="1"/>
      <protection/>
    </xf>
    <xf numFmtId="0" fontId="29" fillId="0" borderId="0" xfId="54" applyFont="1" applyFill="1" applyBorder="1" applyAlignment="1" applyProtection="1">
      <alignment horizontal="center" vertical="center" shrinkToFit="1"/>
      <protection/>
    </xf>
    <xf numFmtId="14" fontId="29" fillId="0" borderId="0" xfId="54" applyNumberFormat="1" applyFont="1" applyFill="1" applyBorder="1" applyAlignment="1" applyProtection="1">
      <alignment horizontal="center" vertical="center" shrinkToFit="1"/>
      <protection/>
    </xf>
    <xf numFmtId="0" fontId="29" fillId="0" borderId="0" xfId="54" applyFont="1" applyFill="1" applyBorder="1" applyAlignment="1" applyProtection="1">
      <alignment horizontal="center" vertical="center"/>
      <protection/>
    </xf>
    <xf numFmtId="0" fontId="16" fillId="34" borderId="0" xfId="54" applyFill="1" applyAlignment="1" applyProtection="1">
      <alignment horizontal="center" vertical="top" shrinkToFit="1" readingOrder="1"/>
      <protection/>
    </xf>
    <xf numFmtId="0" fontId="16" fillId="34" borderId="0" xfId="54" applyFill="1" applyAlignment="1" applyProtection="1">
      <alignment horizontal="center" vertical="top" readingOrder="1"/>
      <protection/>
    </xf>
    <xf numFmtId="0" fontId="16" fillId="34" borderId="0" xfId="54" applyFill="1" applyProtection="1">
      <alignment vertical="top"/>
      <protection/>
    </xf>
    <xf numFmtId="0" fontId="16" fillId="34" borderId="0" xfId="54" applyFill="1" applyAlignment="1" applyProtection="1">
      <alignment horizontal="center" vertical="top"/>
      <protection/>
    </xf>
    <xf numFmtId="14" fontId="16" fillId="34" borderId="0" xfId="54" applyNumberFormat="1" applyFill="1" applyProtection="1">
      <alignment vertical="top"/>
      <protection/>
    </xf>
    <xf numFmtId="0" fontId="16" fillId="0" borderId="0" xfId="54" applyAlignment="1" applyProtection="1">
      <alignment horizontal="center" vertical="top" shrinkToFit="1" readingOrder="1"/>
      <protection/>
    </xf>
    <xf numFmtId="0" fontId="16" fillId="0" borderId="0" xfId="54" applyAlignment="1" applyProtection="1">
      <alignment horizontal="center" vertical="top" readingOrder="1"/>
      <protection/>
    </xf>
    <xf numFmtId="0" fontId="16" fillId="0" borderId="0" xfId="54" applyProtection="1">
      <alignment vertical="top"/>
      <protection/>
    </xf>
    <xf numFmtId="14" fontId="16" fillId="0" borderId="0" xfId="54" applyNumberFormat="1" applyProtection="1">
      <alignment vertical="top"/>
      <protection/>
    </xf>
    <xf numFmtId="0" fontId="16" fillId="0" borderId="0" xfId="54" applyAlignment="1" applyProtection="1">
      <alignment horizontal="center" vertical="top"/>
      <protection/>
    </xf>
    <xf numFmtId="0" fontId="16" fillId="40" borderId="0" xfId="54" applyFill="1" applyBorder="1" applyAlignment="1">
      <alignment horizontal="center" vertical="top"/>
      <protection/>
    </xf>
    <xf numFmtId="0" fontId="16" fillId="40" borderId="0" xfId="54" applyFont="1" applyFill="1" applyBorder="1" applyAlignment="1">
      <alignment horizontal="center" vertical="center" wrapText="1"/>
      <protection/>
    </xf>
    <xf numFmtId="0" fontId="18" fillId="36" borderId="19" xfId="0" applyFont="1" applyFill="1" applyBorder="1" applyAlignment="1">
      <alignment horizontal="center"/>
    </xf>
    <xf numFmtId="0" fontId="18" fillId="36" borderId="0" xfId="0" applyFont="1" applyFill="1" applyBorder="1" applyAlignment="1">
      <alignment horizontal="center"/>
    </xf>
    <xf numFmtId="0" fontId="16" fillId="0" borderId="0" xfId="54" applyBorder="1" applyAlignment="1">
      <alignment horizontal="center" vertical="center" shrinkToFit="1" readingOrder="1"/>
      <protection/>
    </xf>
    <xf numFmtId="0" fontId="16" fillId="0" borderId="0" xfId="54" applyBorder="1" applyAlignment="1">
      <alignment horizontal="center" vertical="center" readingOrder="1"/>
      <protection/>
    </xf>
    <xf numFmtId="0" fontId="16" fillId="0" borderId="0" xfId="54" applyBorder="1" applyAlignment="1">
      <alignment vertical="center"/>
      <protection/>
    </xf>
    <xf numFmtId="14" fontId="16" fillId="0" borderId="0" xfId="54" applyNumberFormat="1" applyBorder="1" applyAlignment="1">
      <alignment vertical="center"/>
      <protection/>
    </xf>
    <xf numFmtId="0" fontId="16" fillId="0" borderId="0" xfId="54" applyBorder="1" applyAlignment="1">
      <alignment horizontal="center" vertical="center"/>
      <protection/>
    </xf>
    <xf numFmtId="0" fontId="16" fillId="40" borderId="0" xfId="54" applyFill="1" applyBorder="1" applyAlignment="1" applyProtection="1">
      <alignment horizontal="center" vertical="center"/>
      <protection locked="0"/>
    </xf>
    <xf numFmtId="0" fontId="16" fillId="0" borderId="0" xfId="54" applyAlignment="1">
      <alignment vertical="center"/>
      <protection/>
    </xf>
    <xf numFmtId="0" fontId="16" fillId="40" borderId="0" xfId="54" applyFont="1" applyFill="1" applyBorder="1" applyAlignment="1">
      <alignment horizontal="center" vertical="center" shrinkToFit="1"/>
      <protection/>
    </xf>
    <xf numFmtId="0" fontId="0" fillId="36" borderId="0" xfId="0" applyFill="1" applyAlignment="1">
      <alignment/>
    </xf>
    <xf numFmtId="0" fontId="3" fillId="36" borderId="22"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4" xfId="0" applyFont="1" applyFill="1" applyBorder="1" applyAlignment="1">
      <alignment/>
    </xf>
    <xf numFmtId="0" fontId="3" fillId="36" borderId="0" xfId="0" applyFont="1" applyFill="1" applyAlignment="1">
      <alignment/>
    </xf>
    <xf numFmtId="0" fontId="0" fillId="36" borderId="22" xfId="0" applyFont="1" applyFill="1" applyBorder="1" applyAlignment="1">
      <alignment/>
    </xf>
    <xf numFmtId="0" fontId="0" fillId="36" borderId="10" xfId="0" applyFont="1" applyFill="1" applyBorder="1" applyAlignment="1">
      <alignment horizontal="center"/>
    </xf>
    <xf numFmtId="0" fontId="0" fillId="36" borderId="14" xfId="0" applyFont="1" applyFill="1" applyBorder="1" applyAlignment="1">
      <alignment/>
    </xf>
    <xf numFmtId="0" fontId="0" fillId="36" borderId="0" xfId="0" applyFont="1" applyFill="1" applyAlignment="1">
      <alignment shrinkToFit="1"/>
    </xf>
    <xf numFmtId="0" fontId="0" fillId="36" borderId="0" xfId="0" applyFont="1" applyFill="1" applyAlignment="1">
      <alignment/>
    </xf>
    <xf numFmtId="0" fontId="0" fillId="36" borderId="0" xfId="0" applyFont="1" applyFill="1" applyAlignment="1">
      <alignment horizontal="center"/>
    </xf>
    <xf numFmtId="0" fontId="0" fillId="36" borderId="0" xfId="0" applyFill="1" applyAlignment="1" applyProtection="1">
      <alignment/>
      <protection locked="0"/>
    </xf>
    <xf numFmtId="0" fontId="37" fillId="0" borderId="0" xfId="54" applyFont="1" applyAlignment="1">
      <alignment horizontal="left" vertical="top" shrinkToFit="1"/>
      <protection/>
    </xf>
    <xf numFmtId="0" fontId="38" fillId="0" borderId="0" xfId="54" applyFont="1" applyAlignment="1">
      <alignment horizontal="left" vertical="top" shrinkToFit="1"/>
      <protection/>
    </xf>
    <xf numFmtId="14" fontId="38" fillId="0" borderId="0" xfId="54" applyNumberFormat="1" applyFont="1" applyAlignment="1">
      <alignment horizontal="left" vertical="top" shrinkToFit="1"/>
      <protection/>
    </xf>
    <xf numFmtId="14" fontId="38" fillId="0" borderId="0" xfId="54" applyNumberFormat="1" applyFont="1" applyBorder="1" applyAlignment="1">
      <alignment horizontal="left" vertical="top" shrinkToFi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0" xfId="0" applyFont="1" applyFill="1" applyBorder="1" applyAlignment="1">
      <alignment horizontal="center" vertical="center"/>
    </xf>
    <xf numFmtId="0" fontId="0" fillId="0" borderId="24" xfId="0" applyFont="1" applyFill="1" applyBorder="1" applyAlignment="1" applyProtection="1">
      <alignment/>
      <protection locked="0"/>
    </xf>
    <xf numFmtId="14" fontId="16" fillId="0" borderId="10" xfId="54" applyNumberFormat="1"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locked="0"/>
    </xf>
    <xf numFmtId="0" fontId="0" fillId="0" borderId="10"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1"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0" xfId="0" applyFont="1" applyAlignment="1">
      <alignment/>
    </xf>
    <xf numFmtId="0" fontId="0" fillId="0" borderId="0" xfId="0" applyNumberFormat="1" applyFont="1" applyBorder="1" applyAlignment="1" applyProtection="1">
      <alignment horizontal="center" vertical="top" shrinkToFit="1"/>
      <protection/>
    </xf>
    <xf numFmtId="0" fontId="0" fillId="0" borderId="14" xfId="0" applyNumberFormat="1" applyBorder="1" applyAlignment="1" applyProtection="1">
      <alignment horizontal="center" vertical="top" wrapText="1"/>
      <protection/>
    </xf>
    <xf numFmtId="0" fontId="0" fillId="0" borderId="0" xfId="0" applyNumberFormat="1" applyBorder="1" applyAlignment="1" applyProtection="1">
      <alignment horizontal="center" vertical="top" wrapText="1"/>
      <protection/>
    </xf>
    <xf numFmtId="0"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wrapText="1"/>
      <protection/>
    </xf>
    <xf numFmtId="0" fontId="0" fillId="0" borderId="0" xfId="0" applyNumberFormat="1" applyBorder="1" applyAlignment="1" applyProtection="1">
      <alignment wrapText="1"/>
      <protection/>
    </xf>
    <xf numFmtId="0" fontId="0" fillId="0" borderId="0" xfId="0" applyNumberFormat="1" applyBorder="1" applyAlignment="1" applyProtection="1">
      <alignment horizontal="center" vertical="center"/>
      <protection/>
    </xf>
    <xf numFmtId="0" fontId="0" fillId="0" borderId="14" xfId="0" applyNumberFormat="1" applyFont="1" applyBorder="1" applyAlignment="1" applyProtection="1">
      <alignment horizontal="left" shrinkToFit="1"/>
      <protection/>
    </xf>
    <xf numFmtId="0" fontId="0" fillId="0" borderId="14" xfId="0" applyNumberFormat="1" applyBorder="1" applyAlignment="1" applyProtection="1">
      <alignment shrinkToFit="1"/>
      <protection/>
    </xf>
    <xf numFmtId="0" fontId="0" fillId="0" borderId="0" xfId="0" applyNumberFormat="1" applyBorder="1" applyAlignment="1" applyProtection="1">
      <alignment shrinkToFit="1"/>
      <protection/>
    </xf>
    <xf numFmtId="0" fontId="0" fillId="0" borderId="0" xfId="0" applyNumberFormat="1" applyAlignment="1" applyProtection="1">
      <alignment vertical="center" shrinkToFit="1"/>
      <protection/>
    </xf>
    <xf numFmtId="0" fontId="0" fillId="0" borderId="14" xfId="0" applyNumberFormat="1" applyBorder="1" applyAlignment="1" applyProtection="1">
      <alignment horizontal="center" vertical="top" shrinkToFit="1"/>
      <protection/>
    </xf>
    <xf numFmtId="0" fontId="0" fillId="0" borderId="14" xfId="0" applyNumberFormat="1" applyFont="1" applyFill="1" applyBorder="1" applyAlignment="1" applyProtection="1">
      <alignment horizontal="center" vertical="top" shrinkToFit="1"/>
      <protection/>
    </xf>
    <xf numFmtId="0" fontId="0" fillId="0" borderId="0" xfId="0" applyNumberFormat="1" applyBorder="1" applyAlignment="1" applyProtection="1">
      <alignment horizontal="center" vertical="top" shrinkToFit="1"/>
      <protection/>
    </xf>
    <xf numFmtId="0" fontId="0" fillId="0" borderId="0" xfId="0" applyNumberFormat="1" applyFont="1" applyAlignment="1" applyProtection="1">
      <alignment vertical="center" shrinkToFit="1"/>
      <protection/>
    </xf>
    <xf numFmtId="0" fontId="0" fillId="0" borderId="0" xfId="0" applyNumberFormat="1" applyFont="1" applyAlignment="1" applyProtection="1">
      <alignment vertical="center"/>
      <protection/>
    </xf>
    <xf numFmtId="0" fontId="0" fillId="0" borderId="0" xfId="0" applyNumberFormat="1" applyFont="1" applyAlignment="1" applyProtection="1">
      <alignment horizontal="center" vertical="center" shrinkToFit="1"/>
      <protection/>
    </xf>
    <xf numFmtId="0" fontId="0" fillId="0" borderId="0" xfId="0" applyNumberFormat="1" applyFont="1" applyBorder="1" applyAlignment="1" applyProtection="1">
      <alignment horizontal="center" wrapText="1"/>
      <protection/>
    </xf>
    <xf numFmtId="0" fontId="22" fillId="33" borderId="14" xfId="0" applyNumberFormat="1" applyFont="1" applyFill="1" applyBorder="1" applyAlignment="1" applyProtection="1">
      <alignment wrapText="1"/>
      <protection locked="0"/>
    </xf>
    <xf numFmtId="0" fontId="41" fillId="0" borderId="0" xfId="0" applyFont="1" applyFill="1" applyBorder="1" applyAlignment="1">
      <alignment horizontal="center"/>
    </xf>
    <xf numFmtId="0" fontId="0" fillId="0" borderId="0" xfId="0" applyFill="1" applyBorder="1" applyAlignment="1">
      <alignment/>
    </xf>
    <xf numFmtId="0" fontId="41" fillId="0" borderId="0" xfId="0" applyFont="1" applyFill="1" applyBorder="1" applyAlignment="1">
      <alignment horizontal="center" vertical="center"/>
    </xf>
    <xf numFmtId="0" fontId="40" fillId="0" borderId="0" xfId="0" applyFont="1" applyFill="1" applyBorder="1" applyAlignment="1">
      <alignment vertical="center"/>
    </xf>
    <xf numFmtId="0" fontId="41" fillId="41" borderId="0" xfId="0" applyFont="1" applyFill="1" applyBorder="1" applyAlignment="1">
      <alignment horizontal="center" vertical="center" shrinkToFit="1"/>
    </xf>
    <xf numFmtId="0" fontId="40" fillId="41" borderId="25" xfId="0" applyFont="1" applyFill="1" applyBorder="1" applyAlignment="1">
      <alignment vertical="center" shrinkToFit="1"/>
    </xf>
    <xf numFmtId="0" fontId="40" fillId="41" borderId="26" xfId="0" applyFont="1" applyFill="1" applyBorder="1" applyAlignment="1">
      <alignment vertical="center" shrinkToFit="1"/>
    </xf>
    <xf numFmtId="0" fontId="40" fillId="41" borderId="0" xfId="0" applyFont="1" applyFill="1" applyBorder="1" applyAlignment="1">
      <alignment vertical="center" shrinkToFit="1"/>
    </xf>
    <xf numFmtId="0" fontId="0" fillId="0" borderId="11" xfId="0" applyFill="1" applyBorder="1" applyAlignment="1">
      <alignment/>
    </xf>
    <xf numFmtId="0" fontId="0" fillId="0" borderId="11" xfId="0" applyBorder="1" applyAlignment="1">
      <alignment/>
    </xf>
    <xf numFmtId="0" fontId="0" fillId="0" borderId="0" xfId="0" applyFill="1" applyBorder="1" applyAlignment="1" applyProtection="1">
      <alignment/>
      <protection locked="0"/>
    </xf>
    <xf numFmtId="0" fontId="41" fillId="41" borderId="25" xfId="0" applyFont="1" applyFill="1" applyBorder="1" applyAlignment="1">
      <alignment horizontal="left" vertical="center" indent="1" shrinkToFit="1"/>
    </xf>
    <xf numFmtId="0" fontId="41" fillId="41" borderId="0" xfId="0" applyFont="1" applyFill="1" applyBorder="1" applyAlignment="1">
      <alignment horizontal="left" vertical="center" indent="1" shrinkToFit="1"/>
    </xf>
    <xf numFmtId="0" fontId="42" fillId="0" borderId="27" xfId="0" applyFont="1" applyFill="1" applyBorder="1" applyAlignment="1" applyProtection="1">
      <alignment horizontal="left" vertical="center" shrinkToFit="1"/>
      <protection locked="0"/>
    </xf>
    <xf numFmtId="0" fontId="42" fillId="0" borderId="27" xfId="0" applyFont="1" applyFill="1" applyBorder="1" applyAlignment="1" applyProtection="1">
      <alignment horizontal="left" vertical="center" shrinkToFit="1"/>
      <protection/>
    </xf>
    <xf numFmtId="14" fontId="42" fillId="0" borderId="27" xfId="0" applyNumberFormat="1" applyFont="1" applyFill="1" applyBorder="1" applyAlignment="1" applyProtection="1">
      <alignment horizontal="left" vertical="center" shrinkToFit="1"/>
      <protection locked="0"/>
    </xf>
    <xf numFmtId="0" fontId="0" fillId="0" borderId="0" xfId="0" applyAlignment="1" quotePrefix="1">
      <alignment/>
    </xf>
    <xf numFmtId="0" fontId="0" fillId="0" borderId="0" xfId="0" applyAlignment="1">
      <alignment horizontal="left"/>
    </xf>
    <xf numFmtId="0" fontId="43" fillId="42" borderId="0" xfId="0" applyFont="1" applyFill="1" applyAlignment="1">
      <alignment horizontal="center" vertical="center"/>
    </xf>
    <xf numFmtId="0" fontId="0" fillId="0" borderId="0" xfId="0" applyAlignment="1">
      <alignment horizontal="center" vertical="center" shrinkToFit="1"/>
    </xf>
    <xf numFmtId="0" fontId="30" fillId="0" borderId="18" xfId="54" applyFont="1" applyFill="1" applyBorder="1" applyAlignment="1" applyProtection="1">
      <alignment horizontal="center" vertical="center" readingOrder="1"/>
      <protection locked="0"/>
    </xf>
    <xf numFmtId="0" fontId="30" fillId="0" borderId="19" xfId="54" applyFont="1" applyFill="1" applyBorder="1" applyAlignment="1" applyProtection="1">
      <alignment horizontal="center" vertical="center" readingOrder="1"/>
      <protection locked="0"/>
    </xf>
    <xf numFmtId="0" fontId="34" fillId="0" borderId="23" xfId="0" applyFont="1" applyFill="1" applyBorder="1" applyAlignment="1">
      <alignment horizontal="center" vertical="center" shrinkToFit="1"/>
    </xf>
    <xf numFmtId="0" fontId="0" fillId="38" borderId="0" xfId="0" applyFont="1" applyFill="1" applyBorder="1" applyAlignment="1">
      <alignment/>
    </xf>
    <xf numFmtId="0" fontId="0" fillId="38" borderId="0" xfId="0" applyFill="1" applyAlignment="1">
      <alignment horizontal="center"/>
    </xf>
    <xf numFmtId="0" fontId="0" fillId="38" borderId="0" xfId="0" applyFill="1" applyBorder="1"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16" fillId="34" borderId="11" xfId="54" applyNumberFormat="1" applyFill="1" applyBorder="1" applyAlignment="1">
      <alignment horizontal="center" vertical="center"/>
      <protection/>
    </xf>
    <xf numFmtId="0" fontId="16" fillId="37" borderId="0" xfId="54" applyFill="1" applyBorder="1" applyAlignment="1">
      <alignment vertical="center" wrapText="1"/>
      <protection/>
    </xf>
    <xf numFmtId="0" fontId="16" fillId="37" borderId="0" xfId="54" applyFill="1" applyAlignment="1">
      <alignment vertical="center" wrapText="1"/>
      <protection/>
    </xf>
    <xf numFmtId="0" fontId="16" fillId="34" borderId="0" xfId="54" applyFill="1" applyBorder="1" applyProtection="1">
      <alignment vertical="top"/>
      <protection locked="0"/>
    </xf>
    <xf numFmtId="0" fontId="16" fillId="34" borderId="0" xfId="54" applyFill="1" applyBorder="1" applyAlignment="1" applyProtection="1">
      <alignment vertical="center" wrapText="1"/>
      <protection locked="0"/>
    </xf>
    <xf numFmtId="0" fontId="44" fillId="0" borderId="28" xfId="54" applyFont="1" applyBorder="1" applyAlignment="1">
      <alignment horizontal="center" vertical="center" shrinkToFit="1" readingOrder="1"/>
      <protection/>
    </xf>
    <xf numFmtId="0" fontId="45" fillId="0" borderId="28" xfId="54" applyFont="1" applyBorder="1" applyAlignment="1">
      <alignment horizontal="center" vertical="center" wrapText="1" readingOrder="1"/>
      <protection/>
    </xf>
    <xf numFmtId="14" fontId="45" fillId="0" borderId="28" xfId="54" applyNumberFormat="1" applyFont="1" applyBorder="1" applyAlignment="1">
      <alignment horizontal="center" vertical="center" wrapText="1" readingOrder="1"/>
      <protection/>
    </xf>
    <xf numFmtId="0" fontId="45" fillId="0" borderId="28" xfId="54" applyFont="1" applyBorder="1" applyAlignment="1">
      <alignment horizontal="center" vertical="center" wrapText="1"/>
      <protection/>
    </xf>
    <xf numFmtId="0" fontId="46" fillId="0" borderId="28" xfId="54" applyFont="1" applyBorder="1" applyAlignment="1">
      <alignment horizontal="center" vertical="center" wrapText="1" readingOrder="1"/>
      <protection/>
    </xf>
    <xf numFmtId="0" fontId="16" fillId="0" borderId="0" xfId="54" applyFill="1" applyAlignment="1">
      <alignment vertical="center" wrapText="1"/>
      <protection/>
    </xf>
    <xf numFmtId="0" fontId="16" fillId="0" borderId="0" xfId="54" applyFill="1" applyAlignment="1">
      <alignment vertical="center"/>
      <protection/>
    </xf>
    <xf numFmtId="0" fontId="0" fillId="0" borderId="22" xfId="0" applyFont="1" applyFill="1" applyBorder="1" applyAlignment="1" applyProtection="1">
      <alignment/>
      <protection/>
    </xf>
    <xf numFmtId="0" fontId="0" fillId="0" borderId="21" xfId="0" applyFont="1" applyFill="1" applyBorder="1" applyAlignment="1" applyProtection="1">
      <alignment horizontal="center" vertical="center" shrinkToFit="1"/>
      <protection locked="0"/>
    </xf>
    <xf numFmtId="0" fontId="18" fillId="0" borderId="21" xfId="0" applyFont="1" applyBorder="1" applyAlignment="1" applyProtection="1">
      <alignment horizontal="left" vertical="center" shrinkToFit="1"/>
      <protection locked="0"/>
    </xf>
    <xf numFmtId="14" fontId="0" fillId="0" borderId="21" xfId="0" applyNumberFormat="1" applyFont="1" applyFill="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3" fillId="0" borderId="21" xfId="0" applyFont="1" applyBorder="1" applyAlignment="1">
      <alignment horizontal="center" vertical="center" wrapText="1"/>
    </xf>
    <xf numFmtId="0" fontId="0" fillId="0" borderId="21"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0" xfId="0" applyFont="1" applyFill="1" applyAlignment="1">
      <alignment shrinkToFit="1"/>
    </xf>
    <xf numFmtId="0" fontId="0" fillId="0" borderId="0" xfId="0" applyFont="1" applyFill="1" applyAlignment="1">
      <alignment horizontal="center" shrinkToFit="1"/>
    </xf>
    <xf numFmtId="0" fontId="0" fillId="0" borderId="0" xfId="0" applyFont="1" applyFill="1" applyAlignment="1" applyProtection="1">
      <alignment shrinkToFit="1"/>
      <protection/>
    </xf>
    <xf numFmtId="0" fontId="0" fillId="0" borderId="0" xfId="0" applyNumberFormat="1" applyFont="1" applyFill="1" applyBorder="1" applyAlignment="1" applyProtection="1">
      <alignment horizontal="center" wrapText="1"/>
      <protection/>
    </xf>
    <xf numFmtId="0" fontId="0" fillId="38" borderId="0" xfId="0" applyFill="1" applyBorder="1" applyAlignment="1" applyProtection="1">
      <alignment horizontal="left" vertical="center" shrinkToFit="1"/>
      <protection locked="0"/>
    </xf>
    <xf numFmtId="0" fontId="0" fillId="38" borderId="0" xfId="0" applyFill="1" applyAlignment="1" applyProtection="1">
      <alignment shrinkToFit="1"/>
      <protection locked="0"/>
    </xf>
    <xf numFmtId="0" fontId="0" fillId="38" borderId="0" xfId="0" applyFill="1" applyAlignment="1">
      <alignment horizontal="right"/>
    </xf>
    <xf numFmtId="0" fontId="0" fillId="38" borderId="0" xfId="0" applyFill="1" applyAlignment="1" applyProtection="1">
      <alignment/>
      <protection/>
    </xf>
    <xf numFmtId="0" fontId="0" fillId="38" borderId="0" xfId="0" applyFill="1" applyBorder="1" applyAlignment="1">
      <alignment/>
    </xf>
    <xf numFmtId="166" fontId="0" fillId="38" borderId="0" xfId="0" applyNumberFormat="1" applyFill="1" applyBorder="1" applyAlignment="1">
      <alignment/>
    </xf>
    <xf numFmtId="0" fontId="0"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0" fillId="38" borderId="0" xfId="0" applyFill="1" applyAlignment="1" applyProtection="1">
      <alignment horizontal="center"/>
      <protection locked="0"/>
    </xf>
    <xf numFmtId="0" fontId="20" fillId="38" borderId="0" xfId="0" applyNumberFormat="1" applyFont="1" applyFill="1" applyAlignment="1" applyProtection="1">
      <alignment vertical="center"/>
      <protection locked="0"/>
    </xf>
    <xf numFmtId="0" fontId="0" fillId="38" borderId="0" xfId="0" applyFont="1" applyFill="1" applyAlignment="1">
      <alignment vertical="center" wrapText="1"/>
    </xf>
    <xf numFmtId="0" fontId="0" fillId="38" borderId="0" xfId="0" applyFont="1" applyFill="1" applyAlignment="1">
      <alignment vertical="center"/>
    </xf>
    <xf numFmtId="0" fontId="3" fillId="38" borderId="0" xfId="0" applyFont="1" applyFill="1" applyAlignment="1">
      <alignment/>
    </xf>
    <xf numFmtId="0" fontId="6" fillId="38" borderId="0" xfId="0" applyFont="1" applyFill="1" applyAlignment="1">
      <alignment horizontal="center" vertical="center" wrapText="1"/>
    </xf>
    <xf numFmtId="0" fontId="0" fillId="38" borderId="0" xfId="0" applyFont="1" applyFill="1" applyAlignment="1">
      <alignment horizontal="center" vertical="center" wrapText="1"/>
    </xf>
    <xf numFmtId="0" fontId="7" fillId="0" borderId="0" xfId="0" applyFont="1" applyAlignment="1" applyProtection="1">
      <alignment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3" fillId="0" borderId="0" xfId="0" applyFont="1" applyAlignment="1" applyProtection="1">
      <alignment shrinkToFit="1"/>
      <protection/>
    </xf>
    <xf numFmtId="0" fontId="20" fillId="0" borderId="11" xfId="0" applyNumberFormat="1" applyFont="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16" fillId="34" borderId="11" xfId="54" applyFont="1" applyFill="1" applyBorder="1" applyAlignment="1">
      <alignment horizontal="center" vertical="center" wrapText="1" shrinkToFit="1" readingOrder="1"/>
      <protection/>
    </xf>
    <xf numFmtId="0" fontId="16" fillId="0" borderId="0" xfId="54" applyFill="1" applyBorder="1" applyAlignment="1">
      <alignment vertical="top"/>
      <protection/>
    </xf>
    <xf numFmtId="0" fontId="16" fillId="0" borderId="0" xfId="54" applyAlignment="1">
      <alignment vertical="top"/>
      <protection/>
    </xf>
    <xf numFmtId="0" fontId="0" fillId="0" borderId="0" xfId="0" applyFont="1" applyFill="1" applyAlignment="1" applyProtection="1">
      <alignment horizontal="center" vertical="center" shrinkToFit="1"/>
      <protection locked="0"/>
    </xf>
    <xf numFmtId="0" fontId="0" fillId="38" borderId="0" xfId="0" applyFont="1" applyFill="1" applyAlignment="1">
      <alignment horizontal="center" shrinkToFit="1"/>
    </xf>
    <xf numFmtId="0" fontId="0" fillId="38" borderId="0" xfId="0" applyFill="1" applyAlignment="1" applyProtection="1">
      <alignment horizontal="center" vertical="center"/>
      <protection/>
    </xf>
    <xf numFmtId="0" fontId="3" fillId="38" borderId="0" xfId="0" applyFont="1" applyFill="1" applyBorder="1" applyAlignment="1" applyProtection="1">
      <alignment horizontal="center" vertical="center" wrapText="1"/>
      <protection/>
    </xf>
    <xf numFmtId="0" fontId="0" fillId="38" borderId="0" xfId="0" applyFill="1" applyAlignment="1" applyProtection="1">
      <alignment shrinkToFit="1"/>
      <protection/>
    </xf>
    <xf numFmtId="0" fontId="0" fillId="38" borderId="0" xfId="0" applyFill="1" applyBorder="1" applyAlignment="1" applyProtection="1">
      <alignment horizontal="left" vertical="center" shrinkToFit="1"/>
      <protection/>
    </xf>
    <xf numFmtId="0" fontId="0" fillId="38" borderId="0" xfId="0" applyFont="1" applyFill="1" applyAlignment="1" applyProtection="1">
      <alignment shrinkToFit="1"/>
      <protection locked="0"/>
    </xf>
    <xf numFmtId="0" fontId="18" fillId="0" borderId="23" xfId="0" applyFont="1" applyFill="1" applyBorder="1" applyAlignment="1" applyProtection="1">
      <alignment horizontal="left" vertical="center" shrinkToFit="1"/>
      <protection locked="0"/>
    </xf>
    <xf numFmtId="0" fontId="0" fillId="0" borderId="0" xfId="0" applyFill="1" applyAlignment="1">
      <alignment shrinkToFit="1"/>
    </xf>
    <xf numFmtId="0" fontId="0" fillId="0" borderId="0" xfId="0" applyFill="1" applyAlignment="1" applyProtection="1">
      <alignment shrinkToFit="1"/>
      <protection/>
    </xf>
    <xf numFmtId="0" fontId="0"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Font="1" applyFill="1" applyAlignment="1">
      <alignment shrinkToFit="1"/>
    </xf>
    <xf numFmtId="0" fontId="0" fillId="0" borderId="29"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left" vertical="center" shrinkToFit="1"/>
      <protection locked="0"/>
    </xf>
    <xf numFmtId="14" fontId="0" fillId="0" borderId="23"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ont="1" applyBorder="1" applyAlignment="1">
      <alignment horizontal="right"/>
    </xf>
    <xf numFmtId="0" fontId="0" fillId="0" borderId="0" xfId="0" applyAlignment="1">
      <alignment horizontal="right" vertical="center" wrapText="1"/>
    </xf>
    <xf numFmtId="0" fontId="0" fillId="0" borderId="0" xfId="0" applyFont="1" applyBorder="1" applyAlignment="1">
      <alignment horizontal="right" shrinkToFit="1"/>
    </xf>
    <xf numFmtId="0" fontId="0" fillId="0" borderId="11" xfId="0" applyFont="1" applyBorder="1" applyAlignment="1">
      <alignment shrinkToFit="1"/>
    </xf>
    <xf numFmtId="0" fontId="0" fillId="0" borderId="0" xfId="0" applyFont="1" applyAlignment="1">
      <alignment wrapText="1"/>
    </xf>
    <xf numFmtId="0" fontId="0" fillId="0" borderId="0" xfId="0" applyFont="1" applyBorder="1" applyAlignment="1">
      <alignment horizontal="right" wrapText="1"/>
    </xf>
    <xf numFmtId="0" fontId="0"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50"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0" fontId="50" fillId="0" borderId="10" xfId="0" applyFont="1" applyBorder="1" applyAlignment="1">
      <alignment horizontal="center" vertical="center" shrinkToFit="1"/>
    </xf>
    <xf numFmtId="0" fontId="51" fillId="0" borderId="10" xfId="0" applyFont="1" applyBorder="1" applyAlignment="1">
      <alignment horizontal="center" vertical="center" wrapText="1"/>
    </xf>
    <xf numFmtId="0" fontId="50" fillId="0" borderId="28" xfId="0" applyFont="1" applyBorder="1" applyAlignment="1">
      <alignment horizontal="center" vertical="center" wrapText="1"/>
    </xf>
    <xf numFmtId="168" fontId="50" fillId="0" borderId="10" xfId="0" applyNumberFormat="1" applyFont="1" applyBorder="1" applyAlignment="1">
      <alignment vertical="center" wrapText="1"/>
    </xf>
    <xf numFmtId="0" fontId="50" fillId="0" borderId="10" xfId="0" applyFont="1" applyBorder="1" applyAlignment="1">
      <alignment vertical="center" wrapText="1"/>
    </xf>
    <xf numFmtId="0" fontId="50" fillId="0" borderId="22"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0" fillId="0" borderId="11" xfId="0" applyBorder="1" applyAlignment="1">
      <alignment vertical="center" wrapText="1"/>
    </xf>
    <xf numFmtId="0" fontId="18" fillId="0" borderId="11" xfId="0" applyFont="1" applyBorder="1" applyAlignment="1">
      <alignment horizontal="right" vertical="center"/>
    </xf>
    <xf numFmtId="0" fontId="41" fillId="41" borderId="0" xfId="0" applyFont="1" applyFill="1" applyBorder="1" applyAlignment="1">
      <alignment horizontal="left" vertical="center" indent="1" shrinkToFit="1"/>
    </xf>
    <xf numFmtId="167" fontId="42" fillId="0" borderId="27" xfId="0" applyNumberFormat="1" applyFont="1" applyFill="1" applyBorder="1" applyAlignment="1" applyProtection="1">
      <alignment horizontal="right" vertical="center" shrinkToFit="1"/>
      <protection locked="0"/>
    </xf>
    <xf numFmtId="0" fontId="0" fillId="0" borderId="11" xfId="0" applyBorder="1" applyAlignment="1">
      <alignment shrinkToFit="1"/>
    </xf>
    <xf numFmtId="0" fontId="0" fillId="0" borderId="11" xfId="0" applyBorder="1" applyAlignment="1">
      <alignment horizontal="center" shrinkToFit="1"/>
    </xf>
    <xf numFmtId="0" fontId="3" fillId="0" borderId="0" xfId="0" applyFont="1" applyAlignment="1">
      <alignment vertical="top" shrinkToFit="1"/>
    </xf>
    <xf numFmtId="0" fontId="3" fillId="0" borderId="0" xfId="0" applyFont="1" applyFill="1" applyAlignment="1">
      <alignment horizontal="center" vertical="top"/>
    </xf>
    <xf numFmtId="0" fontId="3" fillId="0" borderId="0" xfId="0" applyFont="1" applyBorder="1" applyAlignment="1">
      <alignment horizontal="left" vertical="top" shrinkToFit="1"/>
    </xf>
    <xf numFmtId="0" fontId="3" fillId="0" borderId="0" xfId="0" applyFont="1" applyBorder="1" applyAlignment="1">
      <alignment horizontal="center" vertical="top" shrinkToFit="1"/>
    </xf>
    <xf numFmtId="0" fontId="3" fillId="0" borderId="0" xfId="0" applyFont="1" applyBorder="1" applyAlignment="1" applyProtection="1">
      <alignment horizontal="left" vertical="top" shrinkToFit="1"/>
      <protection/>
    </xf>
    <xf numFmtId="0" fontId="3" fillId="38" borderId="0" xfId="0" applyFont="1" applyFill="1" applyAlignment="1">
      <alignment vertical="top" shrinkToFit="1"/>
    </xf>
    <xf numFmtId="0" fontId="3" fillId="38" borderId="0" xfId="0" applyFont="1" applyFill="1" applyBorder="1" applyAlignment="1">
      <alignment horizontal="center" vertical="top" shrinkToFit="1"/>
    </xf>
    <xf numFmtId="0" fontId="22" fillId="33" borderId="0" xfId="0" applyNumberFormat="1" applyFont="1" applyFill="1" applyBorder="1" applyAlignment="1" applyProtection="1">
      <alignment horizontal="left" shrinkToFit="1"/>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shrinkToFit="1"/>
      <protection/>
    </xf>
    <xf numFmtId="164" fontId="0" fillId="0" borderId="0" xfId="0" applyNumberFormat="1" applyFont="1" applyFill="1" applyBorder="1" applyAlignment="1" applyProtection="1">
      <alignment horizontal="center" shrinkToFit="1"/>
      <protection/>
    </xf>
    <xf numFmtId="14" fontId="0" fillId="0" borderId="0" xfId="0" applyNumberFormat="1" applyFont="1" applyFill="1" applyBorder="1" applyAlignment="1" applyProtection="1">
      <alignment horizontal="center" shrinkToFit="1"/>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center"/>
      <protection/>
    </xf>
    <xf numFmtId="0" fontId="0" fillId="36" borderId="0" xfId="0" applyFont="1" applyFill="1" applyBorder="1" applyAlignment="1" applyProtection="1">
      <alignment shrinkToFit="1"/>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shrinkToFit="1"/>
      <protection/>
    </xf>
    <xf numFmtId="164" fontId="0" fillId="0" borderId="0" xfId="0" applyNumberFormat="1" applyFont="1" applyFill="1" applyBorder="1" applyAlignment="1" applyProtection="1">
      <alignment horizontal="center" shrinkToFit="1"/>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center" vertical="center" shrinkToFit="1"/>
      <protection/>
    </xf>
    <xf numFmtId="0" fontId="0" fillId="36" borderId="0" xfId="0" applyFill="1" applyBorder="1" applyAlignment="1" applyProtection="1">
      <alignment/>
      <protection/>
    </xf>
    <xf numFmtId="1" fontId="0" fillId="38" borderId="0" xfId="0" applyNumberFormat="1" applyFill="1" applyAlignment="1">
      <alignment/>
    </xf>
    <xf numFmtId="0" fontId="0" fillId="0" borderId="0" xfId="53" applyFont="1" applyBorder="1" applyAlignment="1" applyProtection="1">
      <alignment horizontal="center" shrinkToFit="1"/>
      <protection/>
    </xf>
    <xf numFmtId="0" fontId="0" fillId="0" borderId="0" xfId="53" applyNumberFormat="1" applyFont="1" applyBorder="1" applyAlignment="1" applyProtection="1">
      <alignment horizontal="left" shrinkToFit="1"/>
      <protection/>
    </xf>
    <xf numFmtId="0" fontId="0" fillId="0" borderId="0" xfId="53" applyNumberFormat="1" applyFont="1" applyBorder="1" applyAlignment="1" applyProtection="1">
      <alignment horizontal="center" vertical="top" shrinkToFit="1"/>
      <protection/>
    </xf>
    <xf numFmtId="0" fontId="0" fillId="0" borderId="0" xfId="53" applyFont="1" applyAlignment="1">
      <alignment vertical="center" shrinkToFit="1"/>
      <protection/>
    </xf>
    <xf numFmtId="0" fontId="0" fillId="0" borderId="0" xfId="53" applyFont="1" applyAlignment="1" applyProtection="1">
      <alignment horizontal="center" shrinkToFit="1"/>
      <protection/>
    </xf>
    <xf numFmtId="0" fontId="0" fillId="0" borderId="0" xfId="53" applyFont="1" applyBorder="1" applyAlignment="1">
      <alignment horizontal="center" vertical="center" shrinkToFit="1"/>
      <protection/>
    </xf>
    <xf numFmtId="49" fontId="0" fillId="0" borderId="0" xfId="53" applyNumberFormat="1" applyFont="1" applyBorder="1" applyAlignment="1" applyProtection="1">
      <alignment horizontal="center" vertical="top" shrinkToFit="1"/>
      <protection/>
    </xf>
    <xf numFmtId="0" fontId="0" fillId="0" borderId="0" xfId="53" applyNumberFormat="1" applyFont="1" applyAlignment="1">
      <alignment vertical="center" shrinkToFit="1"/>
      <protection/>
    </xf>
    <xf numFmtId="0" fontId="0" fillId="0" borderId="0" xfId="53" applyFont="1" applyAlignment="1" applyProtection="1">
      <alignment vertical="center" shrinkToFit="1"/>
      <protection/>
    </xf>
    <xf numFmtId="0" fontId="0" fillId="0" borderId="0" xfId="0" applyFont="1" applyFill="1" applyAlignment="1" applyProtection="1">
      <alignment vertical="center" wrapText="1"/>
      <protection locked="0"/>
    </xf>
    <xf numFmtId="0" fontId="0" fillId="43" borderId="30" xfId="0" applyFont="1" applyFill="1" applyBorder="1" applyAlignment="1" applyProtection="1">
      <alignment horizontal="center" shrinkToFit="1"/>
      <protection/>
    </xf>
    <xf numFmtId="0" fontId="0" fillId="43" borderId="31" xfId="0" applyFont="1" applyFill="1" applyBorder="1" applyAlignment="1" applyProtection="1">
      <alignment horizontal="center" shrinkToFit="1"/>
      <protection/>
    </xf>
    <xf numFmtId="0" fontId="0" fillId="0" borderId="0" xfId="0" applyNumberFormat="1" applyFont="1" applyFill="1" applyAlignment="1" applyProtection="1">
      <alignment wrapText="1"/>
      <protection/>
    </xf>
    <xf numFmtId="0" fontId="22" fillId="33" borderId="32" xfId="0" applyNumberFormat="1" applyFont="1" applyFill="1" applyBorder="1" applyAlignment="1" applyProtection="1">
      <alignment vertical="top" shrinkToFit="1"/>
      <protection/>
    </xf>
    <xf numFmtId="0" fontId="0" fillId="0" borderId="16" xfId="0" applyBorder="1" applyAlignment="1" applyProtection="1">
      <alignment horizontal="left"/>
      <protection locked="0"/>
    </xf>
    <xf numFmtId="0" fontId="0" fillId="0" borderId="17" xfId="0" applyBorder="1" applyAlignment="1">
      <alignment horizontal="left"/>
    </xf>
    <xf numFmtId="0" fontId="0" fillId="38" borderId="15" xfId="0" applyFont="1" applyFill="1" applyBorder="1" applyAlignment="1">
      <alignment horizontal="left" shrinkToFit="1"/>
    </xf>
    <xf numFmtId="0" fontId="0" fillId="38" borderId="14" xfId="0" applyFont="1" applyFill="1" applyBorder="1" applyAlignment="1">
      <alignment shrinkToFit="1"/>
    </xf>
    <xf numFmtId="0" fontId="0" fillId="38" borderId="15" xfId="0" applyFont="1" applyFill="1" applyBorder="1" applyAlignment="1">
      <alignment shrinkToFit="1"/>
    </xf>
    <xf numFmtId="0" fontId="0" fillId="38" borderId="15" xfId="0" applyFill="1" applyBorder="1" applyAlignment="1">
      <alignment horizontal="left"/>
    </xf>
    <xf numFmtId="0" fontId="0" fillId="38" borderId="15" xfId="0" applyFont="1" applyFill="1" applyBorder="1" applyAlignment="1">
      <alignment horizontal="left" shrinkToFit="1"/>
    </xf>
    <xf numFmtId="0" fontId="0" fillId="38" borderId="33" xfId="0" applyFill="1" applyBorder="1" applyAlignment="1">
      <alignment horizontal="left" shrinkToFit="1"/>
    </xf>
    <xf numFmtId="0" fontId="3" fillId="0" borderId="0" xfId="0" applyFont="1" applyAlignment="1">
      <alignment horizontal="left" vertical="top" shrinkToFit="1"/>
    </xf>
    <xf numFmtId="0" fontId="0" fillId="0" borderId="0" xfId="0" applyAlignment="1">
      <alignment horizontal="left" shrinkToFit="1"/>
    </xf>
    <xf numFmtId="0" fontId="22" fillId="33" borderId="32" xfId="0" applyNumberFormat="1" applyFont="1" applyFill="1" applyBorder="1" applyAlignment="1" applyProtection="1">
      <alignment horizontal="left" shrinkToFit="1"/>
      <protection/>
    </xf>
    <xf numFmtId="0" fontId="20" fillId="44" borderId="0" xfId="0" applyFont="1" applyFill="1" applyAlignment="1" applyProtection="1">
      <alignment/>
      <protection locked="0"/>
    </xf>
    <xf numFmtId="0" fontId="7" fillId="0" borderId="0" xfId="0" applyFont="1" applyFill="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14" fontId="0" fillId="0" borderId="20" xfId="0" applyNumberFormat="1" applyFont="1" applyFill="1" applyBorder="1" applyAlignment="1" applyProtection="1">
      <alignment horizontal="center" vertical="center" shrinkToFit="1"/>
      <protection locked="0"/>
    </xf>
    <xf numFmtId="14" fontId="0" fillId="0" borderId="30" xfId="0" applyNumberFormat="1" applyFont="1" applyFill="1" applyBorder="1" applyAlignment="1" applyProtection="1">
      <alignment horizontal="center" vertical="center" shrinkToFit="1"/>
      <protection locked="0"/>
    </xf>
    <xf numFmtId="0" fontId="0" fillId="45" borderId="3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left" vertical="center" shrinkToFit="1"/>
      <protection locked="0"/>
    </xf>
    <xf numFmtId="14" fontId="0" fillId="0" borderId="0" xfId="0" applyNumberFormat="1" applyFont="1" applyFill="1" applyAlignment="1" applyProtection="1">
      <alignment horizontal="center" vertical="center" shrinkToFit="1"/>
      <protection locked="0"/>
    </xf>
    <xf numFmtId="0" fontId="8" fillId="0" borderId="11" xfId="0" applyFont="1" applyBorder="1" applyAlignment="1">
      <alignment shrinkToFit="1"/>
    </xf>
    <xf numFmtId="0" fontId="52" fillId="0" borderId="0" xfId="0" applyNumberFormat="1" applyFont="1" applyAlignment="1" applyProtection="1">
      <alignment horizontal="right"/>
      <protection/>
    </xf>
    <xf numFmtId="168" fontId="50" fillId="0" borderId="10" xfId="0" applyNumberFormat="1" applyFont="1" applyBorder="1" applyAlignment="1">
      <alignment horizontal="center" vertical="center" wrapText="1"/>
    </xf>
    <xf numFmtId="0" fontId="0" fillId="0" borderId="0" xfId="0" applyFill="1" applyAlignment="1" applyProtection="1">
      <alignment horizontal="left" vertical="center" shrinkToFit="1"/>
      <protection locked="0"/>
    </xf>
    <xf numFmtId="0" fontId="0" fillId="0" borderId="0" xfId="0" applyFill="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20" xfId="0" applyFill="1" applyBorder="1" applyAlignment="1" applyProtection="1">
      <alignment horizontal="left" vertical="center" shrinkToFit="1"/>
      <protection locked="0"/>
    </xf>
    <xf numFmtId="0" fontId="0" fillId="0" borderId="0" xfId="0" applyBorder="1" applyAlignment="1">
      <alignment horizontal="left" vertical="center"/>
    </xf>
    <xf numFmtId="0" fontId="0" fillId="0" borderId="11" xfId="0" applyBorder="1" applyAlignment="1">
      <alignment horizontal="center" vertical="center"/>
    </xf>
    <xf numFmtId="0" fontId="7" fillId="0" borderId="0" xfId="0" applyFont="1" applyAlignment="1">
      <alignment horizontal="center" vertical="center"/>
    </xf>
    <xf numFmtId="0" fontId="18" fillId="0" borderId="11" xfId="0" applyFont="1" applyBorder="1" applyAlignment="1">
      <alignment horizontal="center"/>
    </xf>
    <xf numFmtId="0" fontId="3" fillId="0" borderId="32" xfId="0" applyFont="1" applyBorder="1" applyAlignment="1">
      <alignment horizontal="center" vertical="top"/>
    </xf>
    <xf numFmtId="0" fontId="28" fillId="0" borderId="0" xfId="54" applyFont="1" applyBorder="1" applyAlignment="1">
      <alignment horizontal="center" vertical="top" readingOrder="1"/>
      <protection/>
    </xf>
    <xf numFmtId="0" fontId="24" fillId="0" borderId="0" xfId="54" applyFont="1" applyBorder="1" applyAlignment="1">
      <alignment horizontal="left" vertical="top" indent="7" readingOrder="1"/>
      <protection/>
    </xf>
    <xf numFmtId="0" fontId="50" fillId="0" borderId="24" xfId="0" applyFont="1" applyBorder="1" applyAlignment="1">
      <alignment horizontal="center" vertical="center" shrinkToFit="1"/>
    </xf>
    <xf numFmtId="0" fontId="50" fillId="0" borderId="22" xfId="0" applyFont="1" applyBorder="1" applyAlignment="1">
      <alignment horizontal="center" vertical="center" shrinkToFit="1"/>
    </xf>
    <xf numFmtId="0" fontId="49" fillId="0" borderId="0" xfId="0" applyFont="1" applyBorder="1" applyAlignment="1">
      <alignment horizontal="center" vertical="center" wrapText="1"/>
    </xf>
    <xf numFmtId="0" fontId="50" fillId="0" borderId="24" xfId="0" applyFont="1" applyBorder="1" applyAlignment="1">
      <alignment horizontal="left" vertical="center" wrapText="1"/>
    </xf>
    <xf numFmtId="0" fontId="50" fillId="0" borderId="28" xfId="0" applyFont="1" applyBorder="1" applyAlignment="1">
      <alignment horizontal="left" vertical="center" wrapText="1"/>
    </xf>
    <xf numFmtId="0" fontId="50" fillId="0" borderId="22" xfId="0" applyFont="1" applyBorder="1" applyAlignment="1">
      <alignment horizontal="left" vertical="center" wrapText="1"/>
    </xf>
    <xf numFmtId="0" fontId="3" fillId="0" borderId="32" xfId="0" applyFont="1" applyBorder="1" applyAlignment="1">
      <alignment horizontal="center" vertical="center"/>
    </xf>
    <xf numFmtId="0" fontId="0" fillId="0" borderId="11" xfId="0" applyBorder="1" applyAlignment="1">
      <alignment horizontal="center" vertical="center" wrapText="1"/>
    </xf>
    <xf numFmtId="0" fontId="0" fillId="0" borderId="0" xfId="0" applyFont="1" applyBorder="1" applyAlignment="1">
      <alignment horizontal="center" shrinkToFi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49" fillId="0" borderId="11" xfId="0" applyFont="1" applyBorder="1" applyAlignment="1">
      <alignment horizontal="center" wrapText="1"/>
    </xf>
    <xf numFmtId="0" fontId="3" fillId="0" borderId="28" xfId="0" applyFont="1" applyBorder="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6" fillId="38" borderId="0" xfId="0" applyFont="1" applyFill="1" applyAlignment="1">
      <alignment horizontal="center" vertical="center" wrapText="1"/>
    </xf>
    <xf numFmtId="0" fontId="0" fillId="0" borderId="28" xfId="0" applyFont="1" applyBorder="1" applyAlignment="1" applyProtection="1">
      <alignment horizontal="left" vertical="center" shrinkToFit="1"/>
      <protection/>
    </xf>
    <xf numFmtId="0" fontId="0" fillId="0" borderId="22" xfId="0" applyFont="1" applyBorder="1" applyAlignment="1" applyProtection="1">
      <alignment horizontal="left" vertical="center" shrinkToFit="1"/>
      <protection/>
    </xf>
    <xf numFmtId="0" fontId="0" fillId="0" borderId="0" xfId="0" applyNumberFormat="1" applyFont="1" applyBorder="1" applyAlignment="1">
      <alignment horizontal="center" shrinkToFit="1"/>
    </xf>
    <xf numFmtId="0" fontId="0" fillId="0" borderId="15" xfId="0" applyNumberFormat="1" applyFont="1" applyBorder="1" applyAlignment="1">
      <alignment horizontal="center" shrinkToFit="1"/>
    </xf>
    <xf numFmtId="0" fontId="0" fillId="0" borderId="14"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0" fillId="0" borderId="34"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vertical="top" shrinkToFit="1"/>
      <protection/>
    </xf>
    <xf numFmtId="0" fontId="0" fillId="0" borderId="15" xfId="0" applyNumberFormat="1" applyFont="1" applyBorder="1" applyAlignment="1" applyProtection="1">
      <alignment horizontal="center" vertical="top" shrinkToFit="1"/>
      <protection/>
    </xf>
    <xf numFmtId="49" fontId="0" fillId="0" borderId="15" xfId="0" applyNumberFormat="1" applyFont="1" applyBorder="1" applyAlignment="1">
      <alignment horizontal="center" shrinkToFit="1"/>
    </xf>
    <xf numFmtId="0" fontId="0" fillId="0" borderId="32" xfId="0" applyNumberFormat="1" applyFont="1" applyBorder="1" applyAlignment="1" applyProtection="1">
      <alignment horizontal="center" vertical="top" shrinkToFit="1"/>
      <protection locked="0"/>
    </xf>
    <xf numFmtId="0" fontId="0" fillId="0" borderId="32" xfId="0" applyNumberFormat="1" applyFont="1" applyBorder="1" applyAlignment="1" applyProtection="1">
      <alignment horizontal="center" vertical="top" shrinkToFit="1"/>
      <protection/>
    </xf>
    <xf numFmtId="0" fontId="0" fillId="0" borderId="17" xfId="0" applyNumberFormat="1" applyFont="1" applyBorder="1" applyAlignment="1" applyProtection="1">
      <alignment horizontal="center" vertical="top" shrinkToFit="1"/>
      <protection/>
    </xf>
    <xf numFmtId="0" fontId="0" fillId="0" borderId="0" xfId="0" applyFont="1" applyAlignment="1">
      <alignment horizontal="center" vertical="center" wrapText="1"/>
    </xf>
    <xf numFmtId="0" fontId="15" fillId="33" borderId="12"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0" fontId="15" fillId="33" borderId="13" xfId="0" applyFont="1" applyFill="1" applyBorder="1" applyAlignment="1" applyProtection="1">
      <alignment horizontal="center" vertical="center" wrapText="1"/>
      <protection/>
    </xf>
    <xf numFmtId="0" fontId="0" fillId="0" borderId="11" xfId="0" applyNumberFormat="1" applyFont="1" applyBorder="1" applyAlignment="1" applyProtection="1">
      <alignment horizontal="center" shrinkToFit="1"/>
      <protection/>
    </xf>
    <xf numFmtId="0" fontId="3" fillId="0" borderId="0" xfId="0" applyNumberFormat="1" applyFont="1" applyBorder="1" applyAlignment="1">
      <alignment horizontal="right"/>
    </xf>
    <xf numFmtId="0" fontId="6" fillId="0" borderId="14"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51" fillId="0" borderId="11" xfId="0" applyFont="1" applyBorder="1" applyAlignment="1" applyProtection="1">
      <alignment horizontal="center" vertical="center" shrinkToFit="1"/>
      <protection/>
    </xf>
    <xf numFmtId="0" fontId="3" fillId="0" borderId="32" xfId="0" applyFont="1" applyBorder="1" applyAlignment="1">
      <alignment horizontal="center" vertical="center"/>
    </xf>
    <xf numFmtId="0" fontId="19" fillId="0" borderId="0" xfId="0" applyNumberFormat="1" applyFont="1" applyAlignment="1" applyProtection="1">
      <alignment horizontal="right" vertical="center"/>
      <protection/>
    </xf>
    <xf numFmtId="49" fontId="3" fillId="0" borderId="32" xfId="0" applyNumberFormat="1" applyFont="1" applyFill="1" applyBorder="1" applyAlignment="1">
      <alignment horizontal="center" vertical="center" wrapText="1" shrinkToFit="1"/>
    </xf>
    <xf numFmtId="49" fontId="3" fillId="0" borderId="17"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33"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0" fontId="0" fillId="0" borderId="32" xfId="53" applyNumberFormat="1" applyFont="1" applyBorder="1" applyAlignment="1">
      <alignment horizontal="left" shrinkToFit="1"/>
      <protection/>
    </xf>
    <xf numFmtId="0" fontId="0" fillId="0" borderId="17" xfId="53" applyNumberFormat="1" applyFont="1" applyBorder="1" applyAlignment="1">
      <alignment horizontal="left" shrinkToFit="1"/>
      <protection/>
    </xf>
    <xf numFmtId="0" fontId="0" fillId="0" borderId="11" xfId="53" applyNumberFormat="1" applyFont="1" applyBorder="1" applyAlignment="1">
      <alignment horizontal="left" shrinkToFit="1"/>
      <protection/>
    </xf>
    <xf numFmtId="0" fontId="0" fillId="0" borderId="33" xfId="53" applyNumberFormat="1" applyFont="1" applyBorder="1" applyAlignment="1">
      <alignment horizontal="left" shrinkToFit="1"/>
      <protection/>
    </xf>
    <xf numFmtId="0" fontId="7" fillId="0" borderId="0" xfId="53" applyFont="1" applyBorder="1" applyAlignment="1">
      <alignment horizontal="center" vertical="center" shrinkToFit="1"/>
      <protection/>
    </xf>
    <xf numFmtId="0" fontId="0" fillId="0" borderId="0" xfId="53" applyNumberFormat="1" applyFont="1" applyBorder="1" applyAlignment="1" applyProtection="1">
      <alignment horizontal="center" vertical="top" shrinkToFit="1"/>
      <protection/>
    </xf>
    <xf numFmtId="49" fontId="0" fillId="0" borderId="32" xfId="53" applyNumberFormat="1" applyFont="1" applyBorder="1" applyAlignment="1" applyProtection="1">
      <alignment horizontal="center" vertical="top" shrinkToFit="1"/>
      <protection locked="0"/>
    </xf>
    <xf numFmtId="0" fontId="0" fillId="0" borderId="24" xfId="0" applyNumberFormat="1" applyFont="1" applyBorder="1" applyAlignment="1" applyProtection="1">
      <alignment horizontal="center" vertical="center" shrinkToFit="1"/>
      <protection/>
    </xf>
    <xf numFmtId="0" fontId="0" fillId="0" borderId="28" xfId="0" applyNumberFormat="1" applyFont="1" applyBorder="1" applyAlignment="1" applyProtection="1">
      <alignment horizontal="center" vertical="center" shrinkToFit="1"/>
      <protection/>
    </xf>
    <xf numFmtId="0" fontId="0" fillId="0" borderId="22" xfId="0" applyNumberFormat="1" applyFont="1" applyBorder="1" applyAlignment="1" applyProtection="1">
      <alignment horizontal="center" vertical="center" shrinkToFit="1"/>
      <protection/>
    </xf>
    <xf numFmtId="0" fontId="9" fillId="0" borderId="16"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33" xfId="0" applyNumberFormat="1" applyFont="1" applyFill="1" applyBorder="1" applyAlignment="1">
      <alignment horizontal="center" vertical="center" wrapText="1"/>
    </xf>
    <xf numFmtId="0" fontId="0" fillId="0" borderId="32" xfId="0" applyNumberFormat="1" applyBorder="1" applyAlignment="1" applyProtection="1">
      <alignment horizontal="center" vertical="top" shrinkToFit="1"/>
      <protection locked="0"/>
    </xf>
    <xf numFmtId="0" fontId="0" fillId="0" borderId="17" xfId="0" applyNumberFormat="1" applyFont="1" applyBorder="1" applyAlignment="1" applyProtection="1">
      <alignment horizontal="center" vertical="top" shrinkToFit="1"/>
      <protection locked="0"/>
    </xf>
    <xf numFmtId="0" fontId="0" fillId="0" borderId="32" xfId="0" applyNumberFormat="1" applyFont="1" applyBorder="1" applyAlignment="1" applyProtection="1">
      <alignment horizontal="left" shrinkToFit="1"/>
      <protection/>
    </xf>
    <xf numFmtId="0" fontId="0" fillId="0" borderId="11" xfId="0" applyBorder="1" applyAlignment="1">
      <alignment/>
    </xf>
    <xf numFmtId="0" fontId="0" fillId="0" borderId="17"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11" xfId="0" applyNumberFormat="1" applyFont="1" applyBorder="1" applyAlignment="1" applyProtection="1">
      <alignment horizontal="left" shrinkToFit="1"/>
      <protection/>
    </xf>
    <xf numFmtId="0" fontId="0" fillId="38" borderId="32" xfId="0" applyNumberFormat="1" applyFont="1" applyFill="1" applyBorder="1" applyAlignment="1" applyProtection="1">
      <alignment horizontal="left" shrinkToFit="1"/>
      <protection/>
    </xf>
    <xf numFmtId="0" fontId="0" fillId="38" borderId="16" xfId="0" applyNumberFormat="1" applyFont="1" applyFill="1" applyBorder="1" applyAlignment="1" applyProtection="1">
      <alignment horizontal="left" shrinkToFit="1"/>
      <protection/>
    </xf>
    <xf numFmtId="0" fontId="0" fillId="38" borderId="34" xfId="0" applyNumberFormat="1" applyFont="1" applyFill="1" applyBorder="1" applyAlignment="1" applyProtection="1">
      <alignment horizontal="left" shrinkToFit="1"/>
      <protection/>
    </xf>
    <xf numFmtId="0" fontId="0" fillId="0" borderId="16" xfId="0" applyNumberFormat="1" applyFont="1" applyBorder="1" applyAlignment="1" applyProtection="1">
      <alignment horizontal="left" shrinkToFit="1"/>
      <protection/>
    </xf>
    <xf numFmtId="0" fontId="0" fillId="0" borderId="34" xfId="0" applyNumberFormat="1" applyFont="1" applyBorder="1" applyAlignment="1" applyProtection="1">
      <alignment horizontal="left" shrinkToFit="1"/>
      <protection/>
    </xf>
    <xf numFmtId="0" fontId="0" fillId="38" borderId="17" xfId="0" applyNumberFormat="1" applyFont="1" applyFill="1" applyBorder="1" applyAlignment="1" applyProtection="1">
      <alignment horizontal="left" shrinkToFit="1"/>
      <protection/>
    </xf>
    <xf numFmtId="0" fontId="0" fillId="38" borderId="33" xfId="0" applyNumberFormat="1" applyFont="1" applyFill="1" applyBorder="1" applyAlignment="1" applyProtection="1">
      <alignment horizontal="left" shrinkToFit="1"/>
      <protection/>
    </xf>
    <xf numFmtId="0" fontId="0" fillId="33" borderId="12" xfId="0" applyFont="1" applyFill="1" applyBorder="1" applyAlignment="1" applyProtection="1">
      <alignment horizontal="center" shrinkToFit="1"/>
      <protection/>
    </xf>
    <xf numFmtId="0" fontId="0" fillId="33" borderId="13" xfId="0" applyFont="1" applyFill="1" applyBorder="1" applyAlignment="1" applyProtection="1">
      <alignment horizontal="center" shrinkToFit="1"/>
      <protection/>
    </xf>
    <xf numFmtId="0" fontId="0" fillId="33" borderId="12" xfId="0" applyFont="1" applyFill="1" applyBorder="1" applyAlignment="1" applyProtection="1">
      <alignment horizontal="center" shrinkToFit="1"/>
      <protection locked="0"/>
    </xf>
    <xf numFmtId="0" fontId="0" fillId="33" borderId="13" xfId="0" applyFont="1" applyFill="1" applyBorder="1" applyAlignment="1" applyProtection="1">
      <alignment horizontal="center" shrinkToFit="1"/>
      <protection locked="0"/>
    </xf>
    <xf numFmtId="0" fontId="0" fillId="46" borderId="12" xfId="0" applyFont="1" applyFill="1" applyBorder="1" applyAlignment="1" applyProtection="1">
      <alignment horizontal="center" shrinkToFit="1"/>
      <protection locked="0"/>
    </xf>
    <xf numFmtId="0" fontId="0" fillId="46" borderId="13" xfId="0" applyFont="1" applyFill="1" applyBorder="1" applyAlignment="1" applyProtection="1">
      <alignment horizontal="center" shrinkToFit="1"/>
      <protection locked="0"/>
    </xf>
    <xf numFmtId="0" fontId="0" fillId="0" borderId="0" xfId="0" applyNumberFormat="1" applyFont="1" applyAlignment="1">
      <alignment horizontal="center" shrinkToFit="1"/>
    </xf>
    <xf numFmtId="0" fontId="0" fillId="0" borderId="12" xfId="0" applyFont="1" applyBorder="1" applyAlignment="1">
      <alignment horizontal="center" wrapText="1"/>
    </xf>
    <xf numFmtId="0" fontId="0" fillId="0" borderId="13" xfId="0" applyFont="1" applyBorder="1" applyAlignment="1">
      <alignment horizontal="center" wrapText="1"/>
    </xf>
    <xf numFmtId="0" fontId="11"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ont="1" applyBorder="1" applyAlignment="1" applyProtection="1">
      <alignment horizontal="center" shrinkToFit="1"/>
      <protection/>
    </xf>
    <xf numFmtId="0" fontId="0" fillId="0" borderId="13" xfId="0" applyFont="1" applyBorder="1" applyAlignment="1" applyProtection="1">
      <alignment horizontal="center" shrinkToFit="1"/>
      <protection/>
    </xf>
    <xf numFmtId="0" fontId="0" fillId="0" borderId="15" xfId="0" applyNumberFormat="1" applyFont="1" applyBorder="1" applyAlignment="1" applyProtection="1">
      <alignment horizontal="center" shrinkToFit="1"/>
      <protection/>
    </xf>
    <xf numFmtId="0" fontId="0" fillId="0" borderId="33" xfId="0" applyNumberFormat="1" applyFont="1" applyBorder="1" applyAlignment="1" applyProtection="1">
      <alignment horizontal="center" shrinkToFit="1"/>
      <protection/>
    </xf>
    <xf numFmtId="49" fontId="6" fillId="0" borderId="0" xfId="0" applyNumberFormat="1" applyFont="1" applyFill="1" applyAlignment="1">
      <alignment horizontal="center" vertical="center" wrapText="1"/>
    </xf>
    <xf numFmtId="0" fontId="3" fillId="0" borderId="0" xfId="0" applyFont="1" applyAlignment="1">
      <alignment horizontal="center"/>
    </xf>
    <xf numFmtId="0" fontId="0" fillId="0" borderId="11" xfId="0" applyFont="1" applyBorder="1" applyAlignment="1" applyProtection="1">
      <alignment horizontal="center" shrinkToFit="1"/>
      <protection/>
    </xf>
    <xf numFmtId="49" fontId="6" fillId="0" borderId="11" xfId="0" applyNumberFormat="1" applyFont="1" applyFill="1" applyBorder="1" applyAlignment="1">
      <alignment horizontal="center" vertical="center" wrapText="1"/>
    </xf>
    <xf numFmtId="0" fontId="0" fillId="0" borderId="0" xfId="53" applyFont="1" applyBorder="1" applyAlignment="1" applyProtection="1">
      <alignment horizontal="center" shrinkToFit="1"/>
      <protection/>
    </xf>
    <xf numFmtId="0" fontId="0" fillId="0" borderId="11" xfId="53" applyFont="1" applyBorder="1" applyAlignment="1" applyProtection="1">
      <alignment horizontal="center" shrinkToFit="1"/>
      <protection/>
    </xf>
    <xf numFmtId="0" fontId="0" fillId="0" borderId="0" xfId="53" applyNumberFormat="1" applyFont="1" applyBorder="1" applyAlignment="1">
      <alignment horizontal="left" shrinkToFit="1"/>
      <protection/>
    </xf>
    <xf numFmtId="0" fontId="19" fillId="0" borderId="11" xfId="0" applyFont="1" applyBorder="1" applyAlignment="1" applyProtection="1">
      <alignment horizontal="center" vertical="center" shrinkToFit="1"/>
      <protection/>
    </xf>
    <xf numFmtId="0" fontId="0" fillId="0" borderId="0" xfId="0" applyFont="1" applyAlignment="1">
      <alignment horizontal="right" vertical="center" wrapText="1"/>
    </xf>
    <xf numFmtId="49" fontId="0" fillId="0" borderId="0" xfId="53" applyNumberFormat="1" applyFont="1" applyBorder="1" applyAlignment="1" applyProtection="1">
      <alignment horizontal="center" vertical="top" shrinkToFit="1"/>
      <protection/>
    </xf>
    <xf numFmtId="0" fontId="3" fillId="0" borderId="32" xfId="0" applyFont="1" applyBorder="1" applyAlignment="1">
      <alignment horizontal="center" vertical="top" wrapText="1"/>
    </xf>
    <xf numFmtId="0" fontId="0" fillId="0" borderId="11" xfId="0" applyFont="1" applyBorder="1" applyAlignment="1">
      <alignment horizontal="center" vertical="center" wrapText="1"/>
    </xf>
    <xf numFmtId="0" fontId="0" fillId="38" borderId="14" xfId="0" applyFont="1" applyFill="1" applyBorder="1" applyAlignment="1">
      <alignment horizontal="left" shrinkToFit="1"/>
    </xf>
    <xf numFmtId="0" fontId="0" fillId="38" borderId="34" xfId="0" applyFont="1" applyFill="1" applyBorder="1" applyAlignment="1">
      <alignment horizontal="left" shrinkToFit="1"/>
    </xf>
    <xf numFmtId="0" fontId="0" fillId="38" borderId="15" xfId="0" applyFont="1" applyFill="1" applyBorder="1" applyAlignment="1">
      <alignment horizontal="left" shrinkToFit="1"/>
    </xf>
    <xf numFmtId="0" fontId="0" fillId="38" borderId="33" xfId="0" applyFont="1" applyFill="1" applyBorder="1" applyAlignment="1">
      <alignment horizontal="left" shrinkToFit="1"/>
    </xf>
    <xf numFmtId="0" fontId="0" fillId="38" borderId="0" xfId="0" applyFont="1" applyFill="1" applyBorder="1" applyAlignment="1">
      <alignment horizontal="left" shrinkToFit="1"/>
    </xf>
    <xf numFmtId="0" fontId="0" fillId="38" borderId="11" xfId="0" applyFont="1" applyFill="1" applyBorder="1" applyAlignment="1">
      <alignment horizontal="left" shrinkToFit="1"/>
    </xf>
    <xf numFmtId="0" fontId="0" fillId="38" borderId="16" xfId="0" applyFont="1" applyFill="1" applyBorder="1" applyAlignment="1">
      <alignment horizontal="left" shrinkToFit="1"/>
    </xf>
    <xf numFmtId="0" fontId="0" fillId="38" borderId="17" xfId="0" applyFont="1" applyFill="1" applyBorder="1" applyAlignment="1">
      <alignment horizontal="left" shrinkToFit="1"/>
    </xf>
    <xf numFmtId="0" fontId="0" fillId="0" borderId="0" xfId="0" applyBorder="1" applyAlignment="1">
      <alignment horizontal="center" shrinkToFit="1"/>
    </xf>
    <xf numFmtId="0" fontId="49" fillId="0" borderId="11" xfId="0" applyFont="1" applyBorder="1" applyAlignment="1">
      <alignment horizontal="center" vertical="center"/>
    </xf>
    <xf numFmtId="0" fontId="19" fillId="38" borderId="20" xfId="0" applyFont="1" applyFill="1" applyBorder="1" applyAlignment="1">
      <alignment horizontal="left" indent="2"/>
    </xf>
    <xf numFmtId="0" fontId="19" fillId="38" borderId="0" xfId="0" applyFont="1" applyFill="1" applyBorder="1" applyAlignment="1">
      <alignment horizontal="left" indent="2"/>
    </xf>
    <xf numFmtId="0" fontId="49" fillId="0" borderId="0" xfId="0" applyFont="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32"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Border="1" applyAlignment="1" applyProtection="1">
      <alignment horizontal="center" shrinkToFit="1"/>
      <protection/>
    </xf>
    <xf numFmtId="0" fontId="0" fillId="0" borderId="33"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shrinkToFit="1"/>
      <protection/>
    </xf>
    <xf numFmtId="0" fontId="0" fillId="0" borderId="32" xfId="0" applyNumberFormat="1" applyFont="1" applyBorder="1" applyAlignment="1" applyProtection="1">
      <alignment horizontal="left" shrinkToFit="1"/>
      <protection/>
    </xf>
    <xf numFmtId="0" fontId="0" fillId="0" borderId="11" xfId="0" applyNumberFormat="1" applyFont="1" applyBorder="1" applyAlignment="1" applyProtection="1">
      <alignment horizontal="left" shrinkToFit="1"/>
      <protection/>
    </xf>
    <xf numFmtId="0" fontId="0" fillId="0" borderId="14"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34"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32" xfId="0" applyNumberFormat="1" applyBorder="1" applyAlignment="1" applyProtection="1">
      <alignment horizontal="center" vertical="top" wrapText="1"/>
      <protection locked="0"/>
    </xf>
    <xf numFmtId="0" fontId="0" fillId="0" borderId="0" xfId="0" applyNumberFormat="1" applyBorder="1" applyAlignment="1" applyProtection="1">
      <alignment horizontal="center" vertical="top" wrapText="1"/>
      <protection locked="0"/>
    </xf>
    <xf numFmtId="0" fontId="0" fillId="0" borderId="32"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3" fillId="0" borderId="0" xfId="0" applyNumberFormat="1" applyFont="1" applyAlignment="1">
      <alignment horizontal="right"/>
    </xf>
    <xf numFmtId="0" fontId="0" fillId="0" borderId="17" xfId="0" applyNumberFormat="1" applyFont="1" applyFill="1" applyBorder="1" applyAlignment="1" applyProtection="1">
      <alignment horizontal="center" vertical="top" shrinkToFit="1"/>
      <protection locked="0"/>
    </xf>
    <xf numFmtId="0" fontId="0" fillId="0" borderId="15" xfId="0" applyNumberFormat="1" applyFont="1" applyFill="1" applyBorder="1" applyAlignment="1" applyProtection="1">
      <alignment horizontal="center" vertical="top" shrinkToFit="1"/>
      <protection locked="0"/>
    </xf>
    <xf numFmtId="0" fontId="7" fillId="0" borderId="0" xfId="0" applyNumberFormat="1" applyFont="1" applyAlignment="1">
      <alignment horizontal="center" vertical="center" wrapText="1"/>
    </xf>
    <xf numFmtId="0" fontId="19" fillId="0" borderId="11" xfId="0" applyNumberFormat="1" applyFont="1" applyBorder="1" applyAlignment="1" applyProtection="1">
      <alignment horizontal="center" vertical="center" shrinkToFit="1"/>
      <protection/>
    </xf>
    <xf numFmtId="0" fontId="3" fillId="0" borderId="32" xfId="0" applyNumberFormat="1" applyFont="1" applyBorder="1" applyAlignment="1">
      <alignment horizontal="center" vertical="center"/>
    </xf>
    <xf numFmtId="0" fontId="52" fillId="0" borderId="11" xfId="0" applyNumberFormat="1" applyFont="1" applyBorder="1" applyAlignment="1" applyProtection="1">
      <alignment horizontal="center" shrinkToFit="1"/>
      <protection/>
    </xf>
    <xf numFmtId="0" fontId="7" fillId="0" borderId="0" xfId="0" applyNumberFormat="1" applyFont="1" applyBorder="1" applyAlignment="1">
      <alignment horizontal="center" vertical="center"/>
    </xf>
    <xf numFmtId="0" fontId="3" fillId="0" borderId="0" xfId="0" applyNumberFormat="1" applyFont="1" applyAlignment="1" applyProtection="1">
      <alignment horizontal="left" shrinkToFit="1"/>
      <protection/>
    </xf>
    <xf numFmtId="0" fontId="10" fillId="0" borderId="0" xfId="0" applyNumberFormat="1" applyFont="1" applyAlignment="1">
      <alignment horizontal="center" vertical="center" wrapText="1"/>
    </xf>
    <xf numFmtId="0" fontId="0" fillId="0" borderId="0" xfId="0" applyNumberFormat="1" applyBorder="1" applyAlignment="1">
      <alignment horizontal="left" wrapText="1"/>
    </xf>
    <xf numFmtId="0" fontId="0" fillId="0" borderId="32" xfId="0" applyNumberFormat="1" applyFont="1" applyBorder="1" applyAlignment="1" applyProtection="1">
      <alignment horizontal="center" vertical="top" wrapText="1"/>
      <protection locked="0"/>
    </xf>
    <xf numFmtId="0" fontId="0" fillId="0" borderId="0" xfId="0" applyNumberFormat="1" applyFont="1" applyBorder="1" applyAlignment="1" applyProtection="1">
      <alignment horizontal="center" vertical="top" wrapText="1"/>
      <protection locked="0"/>
    </xf>
    <xf numFmtId="0" fontId="0" fillId="0" borderId="32" xfId="0" applyNumberFormat="1" applyFont="1" applyBorder="1" applyAlignment="1" applyProtection="1">
      <alignment horizontal="center" vertical="center" shrinkToFit="1"/>
      <protection/>
    </xf>
    <xf numFmtId="0" fontId="0" fillId="0" borderId="17" xfId="0" applyNumberFormat="1" applyFont="1" applyBorder="1" applyAlignment="1" applyProtection="1">
      <alignment horizontal="center" vertical="center" shrinkToFit="1"/>
      <protection/>
    </xf>
    <xf numFmtId="0" fontId="0" fillId="0" borderId="0" xfId="0" applyNumberFormat="1" applyFont="1" applyAlignment="1" applyProtection="1">
      <alignment horizontal="center" vertical="center" shrinkToFit="1"/>
      <protection/>
    </xf>
    <xf numFmtId="0" fontId="0" fillId="0" borderId="15" xfId="0" applyNumberFormat="1" applyFont="1" applyBorder="1" applyAlignment="1" applyProtection="1">
      <alignment horizontal="center" vertical="center" shrinkToFit="1"/>
      <protection/>
    </xf>
    <xf numFmtId="0" fontId="3" fillId="0" borderId="32" xfId="0" applyNumberFormat="1" applyFont="1" applyBorder="1" applyAlignment="1">
      <alignment horizontal="center" vertical="top" shrinkToFit="1"/>
    </xf>
    <xf numFmtId="0" fontId="0" fillId="0" borderId="32" xfId="0" applyNumberFormat="1" applyFont="1" applyBorder="1" applyAlignment="1">
      <alignment horizontal="center" vertical="center" shrinkToFit="1"/>
    </xf>
    <xf numFmtId="0" fontId="0" fillId="0" borderId="0" xfId="0" applyNumberFormat="1" applyFont="1" applyAlignment="1">
      <alignment horizontal="center" vertical="center" shrinkToFit="1"/>
    </xf>
    <xf numFmtId="0" fontId="0" fillId="0" borderId="15" xfId="0" applyNumberFormat="1" applyFont="1" applyBorder="1" applyAlignment="1" applyProtection="1">
      <alignment horizontal="center" shrinkToFit="1"/>
      <protection/>
    </xf>
    <xf numFmtId="0" fontId="3" fillId="0" borderId="32" xfId="0" applyNumberFormat="1" applyFont="1" applyBorder="1" applyAlignment="1">
      <alignment horizontal="center" vertical="top" wrapText="1"/>
    </xf>
    <xf numFmtId="0" fontId="0" fillId="46" borderId="12" xfId="0" applyNumberFormat="1" applyFont="1" applyFill="1" applyBorder="1" applyAlignment="1" applyProtection="1">
      <alignment horizontal="center" wrapText="1"/>
      <protection locked="0"/>
    </xf>
    <xf numFmtId="0" fontId="0" fillId="46" borderId="13" xfId="0" applyNumberFormat="1" applyFont="1" applyFill="1" applyBorder="1" applyAlignment="1" applyProtection="1">
      <alignment horizontal="center" wrapText="1"/>
      <protection locked="0"/>
    </xf>
    <xf numFmtId="0" fontId="0" fillId="0" borderId="11" xfId="0" applyNumberFormat="1" applyFont="1" applyBorder="1" applyAlignment="1">
      <alignment horizontal="center" shrinkToFit="1"/>
    </xf>
    <xf numFmtId="0" fontId="0" fillId="0" borderId="0" xfId="0" applyNumberFormat="1" applyFont="1" applyBorder="1" applyAlignment="1" applyProtection="1">
      <alignment horizontal="center" vertical="center" shrinkToFit="1"/>
      <protection/>
    </xf>
    <xf numFmtId="0" fontId="0" fillId="0" borderId="0" xfId="0" applyNumberFormat="1" applyBorder="1" applyAlignment="1" applyProtection="1">
      <alignment horizontal="center" vertical="top" shrinkToFit="1"/>
      <protection locked="0"/>
    </xf>
    <xf numFmtId="0" fontId="0" fillId="0" borderId="32" xfId="0" applyNumberFormat="1" applyFont="1" applyBorder="1" applyAlignment="1" applyProtection="1">
      <alignment horizontal="center" vertical="top" shrinkToFit="1"/>
      <protection locked="0"/>
    </xf>
    <xf numFmtId="0" fontId="0" fillId="0" borderId="0" xfId="0" applyNumberFormat="1" applyFont="1" applyBorder="1" applyAlignment="1" applyProtection="1">
      <alignment horizontal="center" vertical="top" shrinkToFit="1"/>
      <protection locked="0"/>
    </xf>
    <xf numFmtId="0" fontId="0" fillId="0" borderId="11" xfId="0" applyBorder="1" applyAlignment="1" applyProtection="1">
      <alignment/>
      <protection/>
    </xf>
    <xf numFmtId="0" fontId="0" fillId="0" borderId="15" xfId="0" applyNumberFormat="1" applyFont="1" applyBorder="1" applyAlignment="1" applyProtection="1">
      <alignment horizontal="left" shrinkToFit="1"/>
      <protection/>
    </xf>
    <xf numFmtId="0" fontId="0" fillId="0" borderId="33" xfId="0" applyNumberFormat="1" applyFont="1" applyBorder="1" applyAlignment="1" applyProtection="1">
      <alignment horizontal="left" shrinkToFit="1"/>
      <protection/>
    </xf>
    <xf numFmtId="0" fontId="0" fillId="0" borderId="0" xfId="0" applyNumberFormat="1" applyFont="1" applyAlignment="1">
      <alignment horizontal="left" shrinkToFit="1"/>
    </xf>
    <xf numFmtId="0" fontId="3" fillId="0" borderId="32" xfId="0" applyNumberFormat="1" applyFont="1" applyBorder="1" applyAlignment="1">
      <alignment horizontal="center" vertical="top"/>
    </xf>
    <xf numFmtId="0" fontId="0" fillId="46" borderId="10" xfId="0" applyNumberFormat="1" applyFont="1" applyFill="1" applyBorder="1" applyAlignment="1" applyProtection="1">
      <alignment horizontal="center" wrapText="1"/>
      <protection locked="0"/>
    </xf>
    <xf numFmtId="0" fontId="0" fillId="33" borderId="10" xfId="0" applyNumberFormat="1" applyFont="1" applyFill="1" applyBorder="1" applyAlignment="1" applyProtection="1">
      <alignment horizontal="center" wrapText="1"/>
      <protection/>
    </xf>
    <xf numFmtId="0" fontId="0" fillId="33"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xf>
    <xf numFmtId="0" fontId="7" fillId="0" borderId="0" xfId="0" applyNumberFormat="1" applyFont="1" applyAlignment="1">
      <alignment horizontal="center" vertical="center" wrapText="1"/>
    </xf>
    <xf numFmtId="0" fontId="0" fillId="33" borderId="12" xfId="0" applyNumberFormat="1" applyFont="1" applyFill="1" applyBorder="1" applyAlignment="1" applyProtection="1">
      <alignment horizontal="center" wrapText="1"/>
      <protection locked="0"/>
    </xf>
    <xf numFmtId="0" fontId="0" fillId="33" borderId="13" xfId="0" applyNumberFormat="1" applyFont="1" applyFill="1" applyBorder="1" applyAlignment="1" applyProtection="1">
      <alignment horizontal="center" wrapText="1"/>
      <protection locked="0"/>
    </xf>
    <xf numFmtId="0" fontId="7" fillId="0" borderId="0" xfId="0" applyNumberFormat="1" applyFont="1" applyBorder="1" applyAlignment="1">
      <alignment horizontal="center" vertical="top"/>
    </xf>
    <xf numFmtId="0" fontId="0" fillId="0" borderId="0" xfId="0" applyNumberFormat="1" applyFont="1" applyBorder="1" applyAlignment="1">
      <alignment horizontal="center" vertical="center" shrinkToFit="1"/>
    </xf>
    <xf numFmtId="0" fontId="7" fillId="0" borderId="0" xfId="0" applyNumberFormat="1" applyFont="1" applyBorder="1" applyAlignment="1">
      <alignment horizontal="center" vertical="center"/>
    </xf>
    <xf numFmtId="0" fontId="0" fillId="0" borderId="11" xfId="0" applyNumberFormat="1" applyFont="1" applyFill="1" applyBorder="1" applyAlignment="1" applyProtection="1">
      <alignment horizontal="center" wrapText="1"/>
      <protection/>
    </xf>
    <xf numFmtId="0" fontId="0" fillId="0" borderId="32" xfId="0" applyNumberFormat="1" applyFont="1" applyFill="1" applyBorder="1" applyAlignment="1" applyProtection="1">
      <alignment horizontal="center" wrapText="1"/>
      <protection/>
    </xf>
    <xf numFmtId="0" fontId="18" fillId="0" borderId="11" xfId="0" applyFont="1" applyBorder="1" applyAlignment="1">
      <alignment horizontal="center" vertical="center" shrinkToFit="1"/>
    </xf>
    <xf numFmtId="0" fontId="3" fillId="0" borderId="10" xfId="0" applyFont="1" applyBorder="1" applyAlignment="1">
      <alignment horizontal="center" vertical="center" wrapText="1"/>
    </xf>
    <xf numFmtId="0" fontId="8" fillId="0" borderId="11" xfId="0" applyFont="1" applyBorder="1" applyAlignment="1">
      <alignment horizontal="center"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0" fillId="0" borderId="11" xfId="0" applyFont="1" applyBorder="1" applyAlignment="1">
      <alignment horizontal="center" vertical="center" shrinkToFit="1"/>
    </xf>
    <xf numFmtId="0" fontId="0" fillId="0" borderId="0" xfId="0" applyFont="1" applyAlignment="1">
      <alignment horizontal="center" vertical="center" wrapText="1"/>
    </xf>
    <xf numFmtId="0" fontId="0" fillId="0" borderId="0" xfId="0" applyBorder="1" applyAlignment="1">
      <alignment horizontal="center" vertical="center" wrapText="1"/>
    </xf>
    <xf numFmtId="0" fontId="18" fillId="0" borderId="11" xfId="0" applyFont="1" applyBorder="1" applyAlignment="1">
      <alignment horizontal="center" vertical="center" wrapText="1"/>
    </xf>
    <xf numFmtId="0" fontId="9" fillId="0" borderId="28" xfId="0" applyFont="1" applyBorder="1" applyAlignment="1">
      <alignment horizontal="center" vertical="top"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9">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ill>
        <patternFill>
          <bgColor indexed="31"/>
        </patternFill>
      </fill>
    </dxf>
    <dxf>
      <fill>
        <patternFill patternType="darkGray"/>
      </fill>
    </dxf>
    <dxf>
      <fill>
        <patternFill>
          <bgColor indexed="31"/>
        </patternFill>
      </fill>
    </dxf>
    <dxf>
      <fill>
        <patternFill patternType="darkGray"/>
      </fill>
    </dxf>
    <dxf>
      <fill>
        <patternFill>
          <bgColor indexed="31"/>
        </patternFill>
      </fill>
    </dxf>
    <dxf>
      <fill>
        <patternFill patternType="darkGray"/>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ill>
        <patternFill>
          <bgColor indexed="42"/>
        </patternFill>
      </fill>
    </dxf>
    <dxf>
      <font>
        <b/>
        <i val="0"/>
        <color indexed="10"/>
      </font>
      <fill>
        <patternFill>
          <bgColor indexed="51"/>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patternType="solid">
          <bgColor indexed="17"/>
        </patternFill>
      </fill>
      <border>
        <left style="hair">
          <color indexed="17"/>
        </left>
        <right style="hair">
          <color indexed="17"/>
        </right>
        <top style="hair">
          <color indexed="17"/>
        </top>
        <bottom style="hair">
          <color indexed="17"/>
        </bottom>
      </border>
    </dxf>
    <dxf>
      <fill>
        <patternFill>
          <bgColor indexed="47"/>
        </patternFill>
      </fill>
    </dxf>
    <dxf>
      <fill>
        <patternFill>
          <bgColor indexed="43"/>
        </patternFill>
      </fill>
    </dxf>
    <dxf>
      <fill>
        <patternFill>
          <bgColor indexed="42"/>
        </patternFill>
      </fill>
    </dxf>
    <dxf>
      <font>
        <b/>
        <i val="0"/>
        <strike val="0"/>
        <color indexed="13"/>
      </font>
      <fill>
        <patternFill patternType="solid">
          <bgColor indexed="10"/>
        </patternFill>
      </fill>
    </dxf>
    <dxf>
      <font>
        <b/>
        <i val="0"/>
        <color indexed="9"/>
      </font>
      <fill>
        <patternFill>
          <bgColor indexed="5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b/>
        <i val="0"/>
        <color rgb="FFFFFFFF"/>
      </font>
      <fill>
        <patternFill>
          <bgColor rgb="FFFF6600"/>
        </patternFill>
      </fill>
      <border/>
    </dxf>
    <dxf>
      <font>
        <color rgb="FFFFFFFF"/>
      </font>
      <fill>
        <patternFill patternType="solid">
          <bgColor rgb="FF008000"/>
        </patternFill>
      </fill>
      <border>
        <left style="hair">
          <color rgb="FF008000"/>
        </left>
        <right style="hair">
          <color rgb="FFFFFFFF"/>
        </right>
        <top style="hair"/>
        <bottom style="hair">
          <color rgb="FFFFFFFF"/>
        </bottom>
      </border>
    </dxf>
    <dxf>
      <font>
        <color rgb="FFFFFFFF"/>
      </font>
      <fill>
        <patternFill>
          <bgColor rgb="FF008000"/>
        </patternFill>
      </fill>
      <border/>
    </dxf>
    <dxf>
      <font>
        <b/>
        <i val="0"/>
        <color rgb="FFFF0000"/>
      </font>
      <fill>
        <patternFill>
          <bgColor rgb="FFFFCC00"/>
        </patternFill>
      </fill>
      <border/>
    </dxf>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 Id="rId3" Type="http://schemas.openxmlformats.org/officeDocument/2006/relationships/hyperlink" Target="http://www.rustennistur.ru/csp/rtt/RTTXEN.RatingTable.cls" TargetMode="External" /><Relationship Id="rId4"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 Id="rId7" Type="http://schemas.openxmlformats.org/officeDocument/2006/relationships/hyperlink" Target="http://www.rustennistur.ru/csp/rtt/RTTXEN.RatingTable.cls" TargetMode="External" /><Relationship Id="rId8" Type="http://schemas.openxmlformats.org/officeDocument/2006/relationships/hyperlink" Target="http://www.rustennistur.ru/csp/rtt/RTTXEN.RatingTable.cls" TargetMode="External" /><Relationship Id="rId9" Type="http://schemas.openxmlformats.org/officeDocument/2006/relationships/hyperlink" Target="http://www.tennis-russia.ru/" TargetMode="External" /><Relationship Id="rId10" Type="http://schemas.openxmlformats.org/officeDocument/2006/relationships/hyperlink" Target="http://www.tennis-russia.ru/"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571500</xdr:colOff>
      <xdr:row>0</xdr:row>
      <xdr:rowOff>552450</xdr:rowOff>
    </xdr:to>
    <xdr:pic>
      <xdr:nvPicPr>
        <xdr:cNvPr id="1" name="Picture 31" descr="FTR">
          <a:hlinkClick r:id="rId3"/>
        </xdr:cNvPr>
        <xdr:cNvPicPr preferRelativeResize="1">
          <a:picLocks noChangeAspect="1"/>
        </xdr:cNvPicPr>
      </xdr:nvPicPr>
      <xdr:blipFill>
        <a:blip r:embed="rId1"/>
        <a:stretch>
          <a:fillRect/>
        </a:stretch>
      </xdr:blipFill>
      <xdr:spPr>
        <a:xfrm>
          <a:off x="19050" y="0"/>
          <a:ext cx="714375" cy="552450"/>
        </a:xfrm>
        <a:prstGeom prst="rect">
          <a:avLst/>
        </a:prstGeom>
        <a:noFill/>
        <a:ln w="9525" cmpd="sng">
          <a:noFill/>
        </a:ln>
      </xdr:spPr>
    </xdr:pic>
    <xdr:clientData/>
  </xdr:twoCellAnchor>
  <xdr:twoCellAnchor editAs="oneCell">
    <xdr:from>
      <xdr:col>5</xdr:col>
      <xdr:colOff>628650</xdr:colOff>
      <xdr:row>0</xdr:row>
      <xdr:rowOff>95250</xdr:rowOff>
    </xdr:from>
    <xdr:to>
      <xdr:col>7</xdr:col>
      <xdr:colOff>438150</xdr:colOff>
      <xdr:row>0</xdr:row>
      <xdr:rowOff>466725</xdr:rowOff>
    </xdr:to>
    <xdr:pic>
      <xdr:nvPicPr>
        <xdr:cNvPr id="2" name="Picture 32" descr="RTT">
          <a:hlinkClick r:id="rId6"/>
        </xdr:cNvPr>
        <xdr:cNvPicPr preferRelativeResize="1">
          <a:picLocks noChangeAspect="1"/>
        </xdr:cNvPicPr>
      </xdr:nvPicPr>
      <xdr:blipFill>
        <a:blip r:embed="rId4"/>
        <a:stretch>
          <a:fillRect/>
        </a:stretch>
      </xdr:blipFill>
      <xdr:spPr>
        <a:xfrm>
          <a:off x="5924550" y="95250"/>
          <a:ext cx="1076325" cy="371475"/>
        </a:xfrm>
        <a:prstGeom prst="rect">
          <a:avLst/>
        </a:prstGeom>
        <a:noFill/>
        <a:ln w="9525" cmpd="sng">
          <a:noFill/>
        </a:ln>
      </xdr:spPr>
    </xdr:pic>
    <xdr:clientData/>
  </xdr:twoCellAnchor>
  <xdr:twoCellAnchor>
    <xdr:from>
      <xdr:col>4</xdr:col>
      <xdr:colOff>9525</xdr:colOff>
      <xdr:row>7</xdr:row>
      <xdr:rowOff>0</xdr:rowOff>
    </xdr:from>
    <xdr:to>
      <xdr:col>8</xdr:col>
      <xdr:colOff>0</xdr:colOff>
      <xdr:row>9</xdr:row>
      <xdr:rowOff>123825</xdr:rowOff>
    </xdr:to>
    <xdr:grpSp>
      <xdr:nvGrpSpPr>
        <xdr:cNvPr id="3" name="Group 54"/>
        <xdr:cNvGrpSpPr>
          <a:grpSpLocks/>
        </xdr:cNvGrpSpPr>
      </xdr:nvGrpSpPr>
      <xdr:grpSpPr>
        <a:xfrm>
          <a:off x="4619625" y="1952625"/>
          <a:ext cx="2428875" cy="561975"/>
          <a:chOff x="425" y="205"/>
          <a:chExt cx="225" cy="59"/>
        </a:xfrm>
        <a:solidFill>
          <a:srgbClr val="FFFFFF"/>
        </a:solidFill>
      </xdr:grpSpPr>
    </xdr:grpSp>
    <xdr:clientData/>
  </xdr:twoCellAnchor>
  <xdr:twoCellAnchor>
    <xdr:from>
      <xdr:col>4</xdr:col>
      <xdr:colOff>9525</xdr:colOff>
      <xdr:row>1</xdr:row>
      <xdr:rowOff>9525</xdr:rowOff>
    </xdr:from>
    <xdr:to>
      <xdr:col>8</xdr:col>
      <xdr:colOff>0</xdr:colOff>
      <xdr:row>6</xdr:row>
      <xdr:rowOff>161925</xdr:rowOff>
    </xdr:to>
    <xdr:grpSp>
      <xdr:nvGrpSpPr>
        <xdr:cNvPr id="7" name="Group 53"/>
        <xdr:cNvGrpSpPr>
          <a:grpSpLocks/>
        </xdr:cNvGrpSpPr>
      </xdr:nvGrpSpPr>
      <xdr:grpSpPr>
        <a:xfrm>
          <a:off x="4619625" y="647700"/>
          <a:ext cx="2428875" cy="1247775"/>
          <a:chOff x="425" y="68"/>
          <a:chExt cx="225" cy="13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514350</xdr:colOff>
      <xdr:row>0</xdr:row>
      <xdr:rowOff>0</xdr:rowOff>
    </xdr:from>
    <xdr:to>
      <xdr:col>19</xdr:col>
      <xdr:colOff>85725</xdr:colOff>
      <xdr:row>4</xdr:row>
      <xdr:rowOff>19050</xdr:rowOff>
    </xdr:to>
    <xdr:pic>
      <xdr:nvPicPr>
        <xdr:cNvPr id="1" name="Picture 4" descr="RTT">
          <a:hlinkClick r:id="rId3"/>
        </xdr:cNvPr>
        <xdr:cNvPicPr preferRelativeResize="1">
          <a:picLocks noChangeAspect="1"/>
        </xdr:cNvPicPr>
      </xdr:nvPicPr>
      <xdr:blipFill>
        <a:blip r:embed="rId1"/>
        <a:stretch>
          <a:fillRect/>
        </a:stretch>
      </xdr:blipFill>
      <xdr:spPr>
        <a:xfrm>
          <a:off x="7448550" y="0"/>
          <a:ext cx="1628775" cy="561975"/>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twoCellAnchor>
    <xdr:from>
      <xdr:col>18</xdr:col>
      <xdr:colOff>295275</xdr:colOff>
      <xdr:row>7</xdr:row>
      <xdr:rowOff>123825</xdr:rowOff>
    </xdr:from>
    <xdr:to>
      <xdr:col>23</xdr:col>
      <xdr:colOff>19050</xdr:colOff>
      <xdr:row>11</xdr:row>
      <xdr:rowOff>76200</xdr:rowOff>
    </xdr:to>
    <xdr:grpSp>
      <xdr:nvGrpSpPr>
        <xdr:cNvPr id="3" name="Group 29"/>
        <xdr:cNvGrpSpPr>
          <a:grpSpLocks/>
        </xdr:cNvGrpSpPr>
      </xdr:nvGrpSpPr>
      <xdr:grpSpPr>
        <a:xfrm>
          <a:off x="8743950" y="1057275"/>
          <a:ext cx="2438400" cy="561975"/>
          <a:chOff x="425" y="205"/>
          <a:chExt cx="225" cy="59"/>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0</xdr:row>
      <xdr:rowOff>0</xdr:rowOff>
    </xdr:from>
    <xdr:to>
      <xdr:col>7</xdr:col>
      <xdr:colOff>771525</xdr:colOff>
      <xdr:row>4</xdr:row>
      <xdr:rowOff>19050</xdr:rowOff>
    </xdr:to>
    <xdr:pic>
      <xdr:nvPicPr>
        <xdr:cNvPr id="1" name="Picture 3" descr="RTT">
          <a:hlinkClick r:id="rId3"/>
        </xdr:cNvPr>
        <xdr:cNvPicPr preferRelativeResize="1">
          <a:picLocks noChangeAspect="1"/>
        </xdr:cNvPicPr>
      </xdr:nvPicPr>
      <xdr:blipFill>
        <a:blip r:embed="rId1"/>
        <a:stretch>
          <a:fillRect/>
        </a:stretch>
      </xdr:blipFill>
      <xdr:spPr>
        <a:xfrm>
          <a:off x="64103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352425</xdr:colOff>
      <xdr:row>4</xdr:row>
      <xdr:rowOff>95250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18</xdr:col>
      <xdr:colOff>352425</xdr:colOff>
      <xdr:row>4</xdr:row>
      <xdr:rowOff>152400</xdr:rowOff>
    </xdr:from>
    <xdr:to>
      <xdr:col>22</xdr:col>
      <xdr:colOff>19050</xdr:colOff>
      <xdr:row>9</xdr:row>
      <xdr:rowOff>57150</xdr:rowOff>
    </xdr:to>
    <xdr:grpSp>
      <xdr:nvGrpSpPr>
        <xdr:cNvPr id="3" name="Group 11"/>
        <xdr:cNvGrpSpPr>
          <a:grpSpLocks/>
        </xdr:cNvGrpSpPr>
      </xdr:nvGrpSpPr>
      <xdr:grpSpPr>
        <a:xfrm>
          <a:off x="9972675" y="504825"/>
          <a:ext cx="2409825" cy="561975"/>
          <a:chOff x="425" y="205"/>
          <a:chExt cx="225" cy="59"/>
        </a:xfrm>
        <a:solidFill>
          <a:srgbClr val="FFFFFF"/>
        </a:solidFill>
      </xdr:grpSpPr>
    </xdr:grpSp>
    <xdr:clientData/>
  </xdr:twoCellAnchor>
  <xdr:twoCellAnchor>
    <xdr:from>
      <xdr:col>15</xdr:col>
      <xdr:colOff>0</xdr:colOff>
      <xdr:row>3</xdr:row>
      <xdr:rowOff>0</xdr:rowOff>
    </xdr:from>
    <xdr:to>
      <xdr:col>18</xdr:col>
      <xdr:colOff>352425</xdr:colOff>
      <xdr:row>9</xdr:row>
      <xdr:rowOff>400050</xdr:rowOff>
    </xdr:to>
    <xdr:grpSp>
      <xdr:nvGrpSpPr>
        <xdr:cNvPr id="7" name="Group 15"/>
        <xdr:cNvGrpSpPr>
          <a:grpSpLocks/>
        </xdr:cNvGrpSpPr>
      </xdr:nvGrpSpPr>
      <xdr:grpSpPr>
        <a:xfrm>
          <a:off x="7562850" y="161925"/>
          <a:ext cx="2409825" cy="1247775"/>
          <a:chOff x="425" y="68"/>
          <a:chExt cx="225" cy="131"/>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3"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5"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0</xdr:rowOff>
    </xdr:from>
    <xdr:to>
      <xdr:col>8</xdr:col>
      <xdr:colOff>1533525</xdr:colOff>
      <xdr:row>1</xdr:row>
      <xdr:rowOff>209550</xdr:rowOff>
    </xdr:to>
    <xdr:pic>
      <xdr:nvPicPr>
        <xdr:cNvPr id="1" name="Picture 1" descr="RTT">
          <a:hlinkClick r:id="rId3"/>
        </xdr:cNvPr>
        <xdr:cNvPicPr preferRelativeResize="1">
          <a:picLocks noChangeAspect="1"/>
        </xdr:cNvPicPr>
      </xdr:nvPicPr>
      <xdr:blipFill>
        <a:blip r:embed="rId1"/>
        <a:stretch>
          <a:fillRect/>
        </a:stretch>
      </xdr:blipFill>
      <xdr:spPr>
        <a:xfrm>
          <a:off x="799147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1</xdr:row>
      <xdr:rowOff>238125</xdr:rowOff>
    </xdr:to>
    <xdr:pic>
      <xdr:nvPicPr>
        <xdr:cNvPr id="2" name="Picture 18" descr="FTR">
          <a:hlinkClick r:id="rId6"/>
        </xdr:cNvPr>
        <xdr:cNvPicPr preferRelativeResize="1">
          <a:picLocks noChangeAspect="1"/>
        </xdr:cNvPicPr>
      </xdr:nvPicPr>
      <xdr:blipFill>
        <a:blip r:embed="rId4"/>
        <a:stretch>
          <a:fillRect/>
        </a:stretch>
      </xdr:blipFill>
      <xdr:spPr>
        <a:xfrm>
          <a:off x="0" y="0"/>
          <a:ext cx="5238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276225</xdr:colOff>
      <xdr:row>9</xdr:row>
      <xdr:rowOff>190500</xdr:rowOff>
    </xdr:from>
    <xdr:to>
      <xdr:col>25</xdr:col>
      <xdr:colOff>628650</xdr:colOff>
      <xdr:row>10</xdr:row>
      <xdr:rowOff>371475</xdr:rowOff>
    </xdr:to>
    <xdr:grpSp>
      <xdr:nvGrpSpPr>
        <xdr:cNvPr id="1" name="Group 106"/>
        <xdr:cNvGrpSpPr>
          <a:grpSpLocks/>
        </xdr:cNvGrpSpPr>
      </xdr:nvGrpSpPr>
      <xdr:grpSpPr>
        <a:xfrm>
          <a:off x="12734925" y="1447800"/>
          <a:ext cx="2438400" cy="714375"/>
          <a:chOff x="425" y="205"/>
          <a:chExt cx="225" cy="59"/>
        </a:xfrm>
        <a:solidFill>
          <a:srgbClr val="FFFFFF"/>
        </a:solidFill>
      </xdr:grpSpPr>
    </xdr:grpSp>
    <xdr:clientData/>
  </xdr:twoCellAnchor>
  <xdr:twoCellAnchor>
    <xdr:from>
      <xdr:col>22</xdr:col>
      <xdr:colOff>276225</xdr:colOff>
      <xdr:row>0</xdr:row>
      <xdr:rowOff>104775</xdr:rowOff>
    </xdr:from>
    <xdr:to>
      <xdr:col>25</xdr:col>
      <xdr:colOff>628650</xdr:colOff>
      <xdr:row>9</xdr:row>
      <xdr:rowOff>133350</xdr:rowOff>
    </xdr:to>
    <xdr:grpSp>
      <xdr:nvGrpSpPr>
        <xdr:cNvPr id="5" name="Group 110"/>
        <xdr:cNvGrpSpPr>
          <a:grpSpLocks/>
        </xdr:cNvGrpSpPr>
      </xdr:nvGrpSpPr>
      <xdr:grpSpPr>
        <a:xfrm>
          <a:off x="12734925" y="104775"/>
          <a:ext cx="2438400" cy="1285875"/>
          <a:chOff x="425" y="68"/>
          <a:chExt cx="225" cy="131"/>
        </a:xfrm>
        <a:solidFill>
          <a:srgbClr val="FFFFFF"/>
        </a:solidFill>
      </xdr:grpSpPr>
    </xdr:grpSp>
    <xdr:clientData/>
  </xdr:twoCellAnchor>
  <xdr:twoCellAnchor>
    <xdr:from>
      <xdr:col>4</xdr:col>
      <xdr:colOff>2495550</xdr:colOff>
      <xdr:row>9</xdr:row>
      <xdr:rowOff>104775</xdr:rowOff>
    </xdr:from>
    <xdr:to>
      <xdr:col>6</xdr:col>
      <xdr:colOff>438150</xdr:colOff>
      <xdr:row>10</xdr:row>
      <xdr:rowOff>0</xdr:rowOff>
    </xdr:to>
    <xdr:grpSp>
      <xdr:nvGrpSpPr>
        <xdr:cNvPr id="14" name="Group 130"/>
        <xdr:cNvGrpSpPr>
          <a:grpSpLocks/>
        </xdr:cNvGrpSpPr>
      </xdr:nvGrpSpPr>
      <xdr:grpSpPr>
        <a:xfrm>
          <a:off x="4867275" y="1362075"/>
          <a:ext cx="1704975" cy="428625"/>
          <a:chOff x="446" y="143"/>
          <a:chExt cx="156" cy="45"/>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9</xdr:row>
      <xdr:rowOff>190500</xdr:rowOff>
    </xdr:from>
    <xdr:to>
      <xdr:col>20</xdr:col>
      <xdr:colOff>552450</xdr:colOff>
      <xdr:row>10</xdr:row>
      <xdr:rowOff>371475</xdr:rowOff>
    </xdr:to>
    <xdr:grpSp>
      <xdr:nvGrpSpPr>
        <xdr:cNvPr id="1" name="Group 113"/>
        <xdr:cNvGrpSpPr>
          <a:grpSpLocks/>
        </xdr:cNvGrpSpPr>
      </xdr:nvGrpSpPr>
      <xdr:grpSpPr>
        <a:xfrm>
          <a:off x="12725400" y="1447800"/>
          <a:ext cx="2438400" cy="714375"/>
          <a:chOff x="425" y="205"/>
          <a:chExt cx="225" cy="59"/>
        </a:xfrm>
        <a:solidFill>
          <a:srgbClr val="FFFFFF"/>
        </a:solidFill>
      </xdr:grpSpPr>
    </xdr:grpSp>
    <xdr:clientData/>
  </xdr:twoCellAnchor>
  <xdr:twoCellAnchor>
    <xdr:from>
      <xdr:col>17</xdr:col>
      <xdr:colOff>200025</xdr:colOff>
      <xdr:row>0</xdr:row>
      <xdr:rowOff>104775</xdr:rowOff>
    </xdr:from>
    <xdr:to>
      <xdr:col>20</xdr:col>
      <xdr:colOff>552450</xdr:colOff>
      <xdr:row>9</xdr:row>
      <xdr:rowOff>133350</xdr:rowOff>
    </xdr:to>
    <xdr:grpSp>
      <xdr:nvGrpSpPr>
        <xdr:cNvPr id="5" name="Group 117"/>
        <xdr:cNvGrpSpPr>
          <a:grpSpLocks/>
        </xdr:cNvGrpSpPr>
      </xdr:nvGrpSpPr>
      <xdr:grpSpPr>
        <a:xfrm>
          <a:off x="12725400" y="104775"/>
          <a:ext cx="2438400" cy="1285875"/>
          <a:chOff x="425" y="68"/>
          <a:chExt cx="225" cy="131"/>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647700</xdr:colOff>
      <xdr:row>0</xdr:row>
      <xdr:rowOff>0</xdr:rowOff>
    </xdr:from>
    <xdr:to>
      <xdr:col>13</xdr:col>
      <xdr:colOff>971550</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4782800" y="0"/>
          <a:ext cx="133350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581025</xdr:colOff>
      <xdr:row>2</xdr:row>
      <xdr:rowOff>57150</xdr:rowOff>
    </xdr:to>
    <xdr:pic>
      <xdr:nvPicPr>
        <xdr:cNvPr id="2" name="Picture 2" descr="ФТР"/>
        <xdr:cNvPicPr preferRelativeResize="1">
          <a:picLocks noChangeAspect="1"/>
        </xdr:cNvPicPr>
      </xdr:nvPicPr>
      <xdr:blipFill>
        <a:blip r:embed="rId2"/>
        <a:stretch>
          <a:fillRect/>
        </a:stretch>
      </xdr:blipFill>
      <xdr:spPr>
        <a:xfrm>
          <a:off x="0" y="0"/>
          <a:ext cx="9334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7" descr="RTT">
          <a:hlinkClick r:id="rId3"/>
        </xdr:cNvPr>
        <xdr:cNvPicPr preferRelativeResize="1">
          <a:picLocks noChangeAspect="1"/>
        </xdr:cNvPicPr>
      </xdr:nvPicPr>
      <xdr:blipFill>
        <a:blip r:embed="rId1"/>
        <a:stretch>
          <a:fillRect/>
        </a:stretch>
      </xdr:blipFill>
      <xdr:spPr>
        <a:xfrm>
          <a:off x="6238875"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11"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xdr:from>
      <xdr:col>22</xdr:col>
      <xdr:colOff>342900</xdr:colOff>
      <xdr:row>5</xdr:row>
      <xdr:rowOff>333375</xdr:rowOff>
    </xdr:from>
    <xdr:to>
      <xdr:col>29</xdr:col>
      <xdr:colOff>0</xdr:colOff>
      <xdr:row>6</xdr:row>
      <xdr:rowOff>485775</xdr:rowOff>
    </xdr:to>
    <xdr:grpSp>
      <xdr:nvGrpSpPr>
        <xdr:cNvPr id="3" name="Group 86"/>
        <xdr:cNvGrpSpPr>
          <a:grpSpLocks/>
        </xdr:cNvGrpSpPr>
      </xdr:nvGrpSpPr>
      <xdr:grpSpPr>
        <a:xfrm>
          <a:off x="11991975" y="1304925"/>
          <a:ext cx="2400300" cy="628650"/>
          <a:chOff x="425" y="205"/>
          <a:chExt cx="225" cy="59"/>
        </a:xfrm>
        <a:solidFill>
          <a:srgbClr val="FFFFFF"/>
        </a:solidFill>
      </xdr:grpSpPr>
    </xdr:grpSp>
    <xdr:clientData/>
  </xdr:twoCellAnchor>
  <xdr:twoCellAnchor>
    <xdr:from>
      <xdr:col>22</xdr:col>
      <xdr:colOff>342900</xdr:colOff>
      <xdr:row>0</xdr:row>
      <xdr:rowOff>38100</xdr:rowOff>
    </xdr:from>
    <xdr:to>
      <xdr:col>29</xdr:col>
      <xdr:colOff>0</xdr:colOff>
      <xdr:row>5</xdr:row>
      <xdr:rowOff>314325</xdr:rowOff>
    </xdr:to>
    <xdr:grpSp>
      <xdr:nvGrpSpPr>
        <xdr:cNvPr id="7" name="Group 90"/>
        <xdr:cNvGrpSpPr>
          <a:grpSpLocks/>
        </xdr:cNvGrpSpPr>
      </xdr:nvGrpSpPr>
      <xdr:grpSpPr>
        <a:xfrm>
          <a:off x="11991975" y="38100"/>
          <a:ext cx="2400300" cy="1247775"/>
          <a:chOff x="425" y="68"/>
          <a:chExt cx="225" cy="131"/>
        </a:xfrm>
        <a:solidFill>
          <a:srgbClr val="FFFFFF"/>
        </a:solidFill>
      </xdr:grpSpPr>
    </xdr:grpSp>
    <xdr:clientData/>
  </xdr:twoCellAnchor>
  <xdr:twoCellAnchor>
    <xdr:from>
      <xdr:col>18</xdr:col>
      <xdr:colOff>371475</xdr:colOff>
      <xdr:row>1</xdr:row>
      <xdr:rowOff>152400</xdr:rowOff>
    </xdr:from>
    <xdr:to>
      <xdr:col>21</xdr:col>
      <xdr:colOff>47625</xdr:colOff>
      <xdr:row>5</xdr:row>
      <xdr:rowOff>352425</xdr:rowOff>
    </xdr:to>
    <xdr:grpSp>
      <xdr:nvGrpSpPr>
        <xdr:cNvPr id="16" name="Group 107"/>
        <xdr:cNvGrpSpPr>
          <a:grpSpLocks/>
        </xdr:cNvGrpSpPr>
      </xdr:nvGrpSpPr>
      <xdr:grpSpPr>
        <a:xfrm>
          <a:off x="8648700" y="314325"/>
          <a:ext cx="2362200" cy="1009650"/>
          <a:chOff x="793" y="33"/>
          <a:chExt cx="219" cy="106"/>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3</xdr:row>
      <xdr:rowOff>104775</xdr:rowOff>
    </xdr:to>
    <xdr:pic>
      <xdr:nvPicPr>
        <xdr:cNvPr id="1" name="Picture 4" descr="ФТР"/>
        <xdr:cNvPicPr preferRelativeResize="1">
          <a:picLocks noChangeAspect="1"/>
        </xdr:cNvPicPr>
      </xdr:nvPicPr>
      <xdr:blipFill>
        <a:blip r:embed="rId1"/>
        <a:stretch>
          <a:fillRect/>
        </a:stretch>
      </xdr:blipFill>
      <xdr:spPr>
        <a:xfrm>
          <a:off x="0" y="0"/>
          <a:ext cx="933450" cy="695325"/>
        </a:xfrm>
        <a:prstGeom prst="rect">
          <a:avLst/>
        </a:prstGeom>
        <a:noFill/>
        <a:ln w="9525" cmpd="sng">
          <a:noFill/>
        </a:ln>
      </xdr:spPr>
    </xdr:pic>
    <xdr:clientData/>
  </xdr:twoCellAnchor>
  <xdr:twoCellAnchor editAs="oneCell">
    <xdr:from>
      <xdr:col>19</xdr:col>
      <xdr:colOff>514350</xdr:colOff>
      <xdr:row>0</xdr:row>
      <xdr:rowOff>0</xdr:rowOff>
    </xdr:from>
    <xdr:to>
      <xdr:col>23</xdr:col>
      <xdr:colOff>352425</xdr:colOff>
      <xdr:row>2</xdr:row>
      <xdr:rowOff>57150</xdr:rowOff>
    </xdr:to>
    <xdr:pic>
      <xdr:nvPicPr>
        <xdr:cNvPr id="2" name="Picture 19" descr="RTT">
          <a:hlinkClick r:id="rId4"/>
        </xdr:cNvPr>
        <xdr:cNvPicPr preferRelativeResize="1">
          <a:picLocks noChangeAspect="1"/>
        </xdr:cNvPicPr>
      </xdr:nvPicPr>
      <xdr:blipFill>
        <a:blip r:embed="rId2"/>
        <a:stretch>
          <a:fillRect/>
        </a:stretch>
      </xdr:blipFill>
      <xdr:spPr>
        <a:xfrm>
          <a:off x="8734425" y="0"/>
          <a:ext cx="1590675" cy="542925"/>
        </a:xfrm>
        <a:prstGeom prst="rect">
          <a:avLst/>
        </a:prstGeom>
        <a:noFill/>
        <a:ln w="9525" cmpd="sng">
          <a:noFill/>
        </a:ln>
      </xdr:spPr>
    </xdr:pic>
    <xdr:clientData/>
  </xdr:twoCellAnchor>
  <xdr:twoCellAnchor>
    <xdr:from>
      <xdr:col>23</xdr:col>
      <xdr:colOff>533400</xdr:colOff>
      <xdr:row>2</xdr:row>
      <xdr:rowOff>95250</xdr:rowOff>
    </xdr:from>
    <xdr:to>
      <xdr:col>33</xdr:col>
      <xdr:colOff>123825</xdr:colOff>
      <xdr:row>5</xdr:row>
      <xdr:rowOff>257175</xdr:rowOff>
    </xdr:to>
    <xdr:grpSp>
      <xdr:nvGrpSpPr>
        <xdr:cNvPr id="3" name="Group 52"/>
        <xdr:cNvGrpSpPr>
          <a:grpSpLocks/>
        </xdr:cNvGrpSpPr>
      </xdr:nvGrpSpPr>
      <xdr:grpSpPr>
        <a:xfrm>
          <a:off x="10506075" y="581025"/>
          <a:ext cx="2447925" cy="561975"/>
          <a:chOff x="425" y="205"/>
          <a:chExt cx="225" cy="59"/>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619125</xdr:colOff>
      <xdr:row>0</xdr:row>
      <xdr:rowOff>0</xdr:rowOff>
    </xdr:from>
    <xdr:to>
      <xdr:col>6</xdr:col>
      <xdr:colOff>504825</xdr:colOff>
      <xdr:row>1</xdr:row>
      <xdr:rowOff>209550</xdr:rowOff>
    </xdr:to>
    <xdr:pic>
      <xdr:nvPicPr>
        <xdr:cNvPr id="1" name="Picture 2" descr="RTT">
          <a:hlinkClick r:id="rId3"/>
        </xdr:cNvPr>
        <xdr:cNvPicPr preferRelativeResize="1">
          <a:picLocks noChangeAspect="1"/>
        </xdr:cNvPicPr>
      </xdr:nvPicPr>
      <xdr:blipFill>
        <a:blip r:embed="rId1"/>
        <a:stretch>
          <a:fillRect/>
        </a:stretch>
      </xdr:blipFill>
      <xdr:spPr>
        <a:xfrm>
          <a:off x="6229350"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285750</xdr:rowOff>
    </xdr:to>
    <xdr:pic>
      <xdr:nvPicPr>
        <xdr:cNvPr id="2" name="Picture 5" descr="FTR">
          <a:hlinkClick r:id="rId6"/>
        </xdr:cNvPr>
        <xdr:cNvPicPr preferRelativeResize="1">
          <a:picLocks noChangeAspect="1"/>
        </xdr:cNvPicPr>
      </xdr:nvPicPr>
      <xdr:blipFill>
        <a:blip r:embed="rId4"/>
        <a:stretch>
          <a:fillRect/>
        </a:stretch>
      </xdr:blipFill>
      <xdr:spPr>
        <a:xfrm>
          <a:off x="0" y="0"/>
          <a:ext cx="590550" cy="447675"/>
        </a:xfrm>
        <a:prstGeom prst="rect">
          <a:avLst/>
        </a:prstGeom>
        <a:noFill/>
        <a:ln w="9525" cmpd="sng">
          <a:noFill/>
        </a:ln>
      </xdr:spPr>
    </xdr:pic>
    <xdr:clientData/>
  </xdr:twoCellAnchor>
  <xdr:twoCellAnchor editAs="oneCell">
    <xdr:from>
      <xdr:col>5</xdr:col>
      <xdr:colOff>619125</xdr:colOff>
      <xdr:row>0</xdr:row>
      <xdr:rowOff>0</xdr:rowOff>
    </xdr:from>
    <xdr:to>
      <xdr:col>6</xdr:col>
      <xdr:colOff>504825</xdr:colOff>
      <xdr:row>1</xdr:row>
      <xdr:rowOff>209550</xdr:rowOff>
    </xdr:to>
    <xdr:pic>
      <xdr:nvPicPr>
        <xdr:cNvPr id="3" name="Picture 121" descr="RTT">
          <a:hlinkClick r:id="rId8"/>
        </xdr:cNvPr>
        <xdr:cNvPicPr preferRelativeResize="1">
          <a:picLocks noChangeAspect="1"/>
        </xdr:cNvPicPr>
      </xdr:nvPicPr>
      <xdr:blipFill>
        <a:blip r:embed="rId1"/>
        <a:stretch>
          <a:fillRect/>
        </a:stretch>
      </xdr:blipFill>
      <xdr:spPr>
        <a:xfrm>
          <a:off x="6229350" y="0"/>
          <a:ext cx="10858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381000</xdr:colOff>
      <xdr:row>1</xdr:row>
      <xdr:rowOff>295275</xdr:rowOff>
    </xdr:to>
    <xdr:pic>
      <xdr:nvPicPr>
        <xdr:cNvPr id="4" name="Picture 122" descr="FTR">
          <a:hlinkClick r:id="rId10"/>
        </xdr:cNvPr>
        <xdr:cNvPicPr preferRelativeResize="1">
          <a:picLocks noChangeAspect="1"/>
        </xdr:cNvPicPr>
      </xdr:nvPicPr>
      <xdr:blipFill>
        <a:blip r:embed="rId4"/>
        <a:stretch>
          <a:fillRect/>
        </a:stretch>
      </xdr:blipFill>
      <xdr:spPr>
        <a:xfrm>
          <a:off x="0" y="0"/>
          <a:ext cx="590550" cy="457200"/>
        </a:xfrm>
        <a:prstGeom prst="rect">
          <a:avLst/>
        </a:prstGeom>
        <a:noFill/>
        <a:ln w="9525" cmpd="sng">
          <a:noFill/>
        </a:ln>
      </xdr:spPr>
    </xdr:pic>
    <xdr:clientData/>
  </xdr:twoCellAnchor>
  <xdr:twoCellAnchor>
    <xdr:from>
      <xdr:col>6</xdr:col>
      <xdr:colOff>47625</xdr:colOff>
      <xdr:row>5</xdr:row>
      <xdr:rowOff>133350</xdr:rowOff>
    </xdr:from>
    <xdr:to>
      <xdr:col>6</xdr:col>
      <xdr:colOff>561975</xdr:colOff>
      <xdr:row>5</xdr:row>
      <xdr:rowOff>447675</xdr:rowOff>
    </xdr:to>
    <xdr:grpSp>
      <xdr:nvGrpSpPr>
        <xdr:cNvPr id="5" name="Group 137"/>
        <xdr:cNvGrpSpPr>
          <a:grpSpLocks/>
        </xdr:cNvGrpSpPr>
      </xdr:nvGrpSpPr>
      <xdr:grpSpPr>
        <a:xfrm>
          <a:off x="6858000" y="1428750"/>
          <a:ext cx="514350" cy="314325"/>
          <a:chOff x="1179" y="278"/>
          <a:chExt cx="47" cy="33"/>
        </a:xfrm>
        <a:solidFill>
          <a:srgbClr val="FFFFFF"/>
        </a:solidFill>
      </xdr:grpSpPr>
      <xdr:sp>
        <xdr:nvSpPr>
          <xdr:cNvPr id="6" name="Rectangle 138"/>
          <xdr:cNvSpPr>
            <a:spLocks/>
          </xdr:cNvSpPr>
        </xdr:nvSpPr>
        <xdr:spPr>
          <a:xfrm>
            <a:off x="1179" y="278"/>
            <a:ext cx="47" cy="33"/>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grpSp>
    <xdr:clientData fPrintsWithSheet="0"/>
  </xdr:twoCellAnchor>
  <xdr:twoCellAnchor>
    <xdr:from>
      <xdr:col>35</xdr:col>
      <xdr:colOff>428625</xdr:colOff>
      <xdr:row>1</xdr:row>
      <xdr:rowOff>76200</xdr:rowOff>
    </xdr:from>
    <xdr:to>
      <xdr:col>37</xdr:col>
      <xdr:colOff>676275</xdr:colOff>
      <xdr:row>5</xdr:row>
      <xdr:rowOff>190500</xdr:rowOff>
    </xdr:to>
    <xdr:grpSp>
      <xdr:nvGrpSpPr>
        <xdr:cNvPr id="7" name="Group 123"/>
        <xdr:cNvGrpSpPr>
          <a:grpSpLocks/>
        </xdr:cNvGrpSpPr>
      </xdr:nvGrpSpPr>
      <xdr:grpSpPr>
        <a:xfrm>
          <a:off x="10791825" y="238125"/>
          <a:ext cx="1619250" cy="1247775"/>
          <a:chOff x="425" y="205"/>
          <a:chExt cx="225" cy="59"/>
        </a:xfrm>
        <a:solidFill>
          <a:srgbClr val="FFFFFF"/>
        </a:solidFill>
      </xdr:grpSpPr>
    </xdr:grpSp>
    <xdr:clientData/>
  </xdr:twoCellAnchor>
  <xdr:twoCellAnchor>
    <xdr:from>
      <xdr:col>32</xdr:col>
      <xdr:colOff>66675</xdr:colOff>
      <xdr:row>1</xdr:row>
      <xdr:rowOff>76200</xdr:rowOff>
    </xdr:from>
    <xdr:to>
      <xdr:col>35</xdr:col>
      <xdr:colOff>438150</xdr:colOff>
      <xdr:row>5</xdr:row>
      <xdr:rowOff>190500</xdr:rowOff>
    </xdr:to>
    <xdr:grpSp>
      <xdr:nvGrpSpPr>
        <xdr:cNvPr id="11" name="Group 127"/>
        <xdr:cNvGrpSpPr>
          <a:grpSpLocks/>
        </xdr:cNvGrpSpPr>
      </xdr:nvGrpSpPr>
      <xdr:grpSpPr>
        <a:xfrm>
          <a:off x="8372475" y="238125"/>
          <a:ext cx="2428875" cy="1247775"/>
          <a:chOff x="425" y="68"/>
          <a:chExt cx="225" cy="131"/>
        </a:xfrm>
        <a:solidFill>
          <a:srgbClr val="FFFFFF"/>
        </a:solidFill>
      </xdr:grpSpPr>
    </xdr:grpSp>
    <xdr:clientData/>
  </xdr:twoCellAnchor>
  <xdr:twoCellAnchor>
    <xdr:from>
      <xdr:col>32</xdr:col>
      <xdr:colOff>57150</xdr:colOff>
      <xdr:row>32</xdr:row>
      <xdr:rowOff>190500</xdr:rowOff>
    </xdr:from>
    <xdr:to>
      <xdr:col>36</xdr:col>
      <xdr:colOff>180975</xdr:colOff>
      <xdr:row>34</xdr:row>
      <xdr:rowOff>171450</xdr:rowOff>
    </xdr:to>
    <xdr:grpSp>
      <xdr:nvGrpSpPr>
        <xdr:cNvPr id="20" name="Group 149"/>
        <xdr:cNvGrpSpPr>
          <a:grpSpLocks/>
        </xdr:cNvGrpSpPr>
      </xdr:nvGrpSpPr>
      <xdr:grpSpPr>
        <a:xfrm>
          <a:off x="8362950" y="9372600"/>
          <a:ext cx="2867025" cy="723900"/>
          <a:chOff x="2714" y="973"/>
          <a:chExt cx="215" cy="76"/>
        </a:xfrm>
        <a:solidFill>
          <a:srgbClr val="FFFFFF"/>
        </a:solidFill>
      </xdr:grpSpPr>
    </xdr:grpSp>
    <xdr:clientData/>
  </xdr:twoCellAnchor>
  <xdr:twoCellAnchor>
    <xdr:from>
      <xdr:col>32</xdr:col>
      <xdr:colOff>57150</xdr:colOff>
      <xdr:row>6</xdr:row>
      <xdr:rowOff>228600</xdr:rowOff>
    </xdr:from>
    <xdr:to>
      <xdr:col>36</xdr:col>
      <xdr:colOff>180975</xdr:colOff>
      <xdr:row>8</xdr:row>
      <xdr:rowOff>209550</xdr:rowOff>
    </xdr:to>
    <xdr:grpSp>
      <xdr:nvGrpSpPr>
        <xdr:cNvPr id="24" name="Group 147"/>
        <xdr:cNvGrpSpPr>
          <a:grpSpLocks/>
        </xdr:cNvGrpSpPr>
      </xdr:nvGrpSpPr>
      <xdr:grpSpPr>
        <a:xfrm>
          <a:off x="8362950" y="2057400"/>
          <a:ext cx="2867025" cy="723900"/>
          <a:chOff x="2714" y="216"/>
          <a:chExt cx="215" cy="76"/>
        </a:xfrm>
        <a:solidFill>
          <a:srgbClr val="FFFFFF"/>
        </a:solidFill>
      </xdr:grpSpPr>
    </xdr:grpSp>
    <xdr:clientData/>
  </xdr:twoCellAnchor>
  <xdr:twoCellAnchor>
    <xdr:from>
      <xdr:col>32</xdr:col>
      <xdr:colOff>57150</xdr:colOff>
      <xdr:row>23</xdr:row>
      <xdr:rowOff>238125</xdr:rowOff>
    </xdr:from>
    <xdr:to>
      <xdr:col>36</xdr:col>
      <xdr:colOff>180975</xdr:colOff>
      <xdr:row>25</xdr:row>
      <xdr:rowOff>219075</xdr:rowOff>
    </xdr:to>
    <xdr:grpSp>
      <xdr:nvGrpSpPr>
        <xdr:cNvPr id="28" name="Group 148"/>
        <xdr:cNvGrpSpPr>
          <a:grpSpLocks/>
        </xdr:cNvGrpSpPr>
      </xdr:nvGrpSpPr>
      <xdr:grpSpPr>
        <a:xfrm>
          <a:off x="8362950" y="6810375"/>
          <a:ext cx="2867025" cy="723900"/>
          <a:chOff x="2714" y="706"/>
          <a:chExt cx="215" cy="76"/>
        </a:xfrm>
        <a:solidFill>
          <a:srgbClr val="FFFFFF"/>
        </a:solidFill>
      </xdr:grpSpPr>
    </xdr:grp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D49"/>
  <sheetViews>
    <sheetView showGridLines="0" showRowColHeaders="0" zoomScale="140" zoomScaleNormal="140" zoomScalePageLayoutView="0" workbookViewId="0" topLeftCell="A1">
      <pane xSplit="8" ySplit="15" topLeftCell="I59" activePane="bottomRight" state="frozen"/>
      <selection pane="topLeft" activeCell="A1" sqref="A1"/>
      <selection pane="topRight" activeCell="I1" sqref="I1"/>
      <selection pane="bottomLeft" activeCell="A16" sqref="A16"/>
      <selection pane="bottomRight" activeCell="C12" sqref="C12"/>
    </sheetView>
  </sheetViews>
  <sheetFormatPr defaultColWidth="9.00390625" defaultRowHeight="19.5" customHeight="1"/>
  <cols>
    <col min="1" max="1" width="2.125" style="354" customWidth="1"/>
    <col min="2" max="2" width="21.25390625" style="0" customWidth="1"/>
    <col min="3" max="3" width="32.375" style="0" customWidth="1"/>
    <col min="4" max="4" width="4.75390625" style="0" customWidth="1"/>
    <col min="7" max="7" width="7.625" style="0" customWidth="1"/>
    <col min="8" max="8" width="6.375" style="0" customWidth="1"/>
    <col min="9" max="9" width="5.375" style="0" customWidth="1"/>
  </cols>
  <sheetData>
    <row r="1" spans="1:4" s="49" customFormat="1" ht="50.25" customHeight="1">
      <c r="A1" s="353"/>
      <c r="B1" s="353"/>
      <c r="C1" s="355" t="s">
        <v>9</v>
      </c>
      <c r="D1" s="353"/>
    </row>
    <row r="2" spans="1:4" s="6" customFormat="1" ht="17.25" customHeight="1">
      <c r="A2" s="355"/>
      <c r="B2" s="357"/>
      <c r="C2" s="357"/>
      <c r="D2" s="357"/>
    </row>
    <row r="3" spans="1:4" s="6" customFormat="1" ht="17.25" customHeight="1">
      <c r="A3" s="356"/>
      <c r="B3" s="364" t="s">
        <v>49</v>
      </c>
      <c r="C3" s="366" t="s">
        <v>163</v>
      </c>
      <c r="D3" s="359"/>
    </row>
    <row r="4" spans="1:4" s="6" customFormat="1" ht="17.25" customHeight="1">
      <c r="A4" s="356"/>
      <c r="B4" s="365" t="s">
        <v>50</v>
      </c>
      <c r="C4" s="367" t="str">
        <f>IF(A26=0,"",INDEX(B26:B32,A26))</f>
        <v>до 15 лет</v>
      </c>
      <c r="D4" s="360"/>
    </row>
    <row r="5" spans="1:4" s="6" customFormat="1" ht="17.25" customHeight="1">
      <c r="A5" s="356"/>
      <c r="B5" s="364" t="s">
        <v>116</v>
      </c>
      <c r="C5" s="367" t="str">
        <f>IF(A34=0,"",INDEX(C34:C35,A34))</f>
        <v>Юноши</v>
      </c>
      <c r="D5" s="359"/>
    </row>
    <row r="6" spans="1:4" s="6" customFormat="1" ht="17.25" customHeight="1">
      <c r="A6" s="356"/>
      <c r="B6" s="365" t="s">
        <v>4</v>
      </c>
      <c r="C6" s="366" t="s">
        <v>164</v>
      </c>
      <c r="D6" s="360"/>
    </row>
    <row r="7" spans="1:4" s="6" customFormat="1" ht="17.25" customHeight="1">
      <c r="A7" s="356"/>
      <c r="B7" s="364" t="s">
        <v>0</v>
      </c>
      <c r="C7" s="366" t="s">
        <v>165</v>
      </c>
      <c r="D7" s="359"/>
    </row>
    <row r="8" spans="1:4" s="6" customFormat="1" ht="17.25" customHeight="1">
      <c r="A8" s="356"/>
      <c r="B8" s="365" t="s">
        <v>29</v>
      </c>
      <c r="C8" s="367" t="str">
        <f>CONCATENATE(C37,C46)</f>
        <v>IVБ</v>
      </c>
      <c r="D8" s="360"/>
    </row>
    <row r="9" spans="1:4" s="6" customFormat="1" ht="17.25" customHeight="1">
      <c r="A9" s="356"/>
      <c r="B9" s="364" t="s">
        <v>78</v>
      </c>
      <c r="C9" s="368">
        <v>42478</v>
      </c>
      <c r="D9" s="359"/>
    </row>
    <row r="10" spans="1:4" s="6" customFormat="1" ht="17.25" customHeight="1">
      <c r="A10" s="356"/>
      <c r="B10" s="365" t="s">
        <v>51</v>
      </c>
      <c r="C10" s="368">
        <v>42461</v>
      </c>
      <c r="D10" s="360"/>
    </row>
    <row r="11" spans="1:4" s="6" customFormat="1" ht="17.25" customHeight="1">
      <c r="A11" s="356"/>
      <c r="B11" s="364" t="s">
        <v>2</v>
      </c>
      <c r="C11" s="366" t="s">
        <v>166</v>
      </c>
      <c r="D11" s="359"/>
    </row>
    <row r="12" spans="1:4" s="6" customFormat="1" ht="17.25" customHeight="1">
      <c r="A12" s="356"/>
      <c r="B12" s="365" t="s">
        <v>7</v>
      </c>
      <c r="C12" s="366" t="s">
        <v>167</v>
      </c>
      <c r="D12" s="360"/>
    </row>
    <row r="13" spans="1:4" s="6" customFormat="1" ht="17.25" customHeight="1">
      <c r="A13" s="356"/>
      <c r="B13" s="358"/>
      <c r="C13" s="358"/>
      <c r="D13" s="359"/>
    </row>
    <row r="14" spans="2:4" ht="19.5" customHeight="1">
      <c r="B14" s="473" t="s">
        <v>147</v>
      </c>
      <c r="C14" s="474">
        <v>1100</v>
      </c>
      <c r="D14" s="360"/>
    </row>
    <row r="15" spans="2:4" ht="19.5" customHeight="1">
      <c r="B15" s="358"/>
      <c r="C15" s="358"/>
      <c r="D15" s="359"/>
    </row>
    <row r="17" spans="2:3" ht="19.5" customHeight="1" hidden="1">
      <c r="B17" t="s">
        <v>154</v>
      </c>
      <c r="C17" s="370">
        <v>24</v>
      </c>
    </row>
    <row r="18" spans="2:3" ht="19.5" customHeight="1" hidden="1">
      <c r="B18" t="s">
        <v>155</v>
      </c>
      <c r="C18" s="370">
        <v>0</v>
      </c>
    </row>
    <row r="19" ht="19.5" customHeight="1" hidden="1"/>
    <row r="20" ht="19.5" customHeight="1" hidden="1"/>
    <row r="21" spans="1:2" ht="19.5" customHeight="1" hidden="1">
      <c r="A21" s="354">
        <f>IF(ОТ!C8&gt;3,1,0)</f>
        <v>1</v>
      </c>
      <c r="B21" t="s">
        <v>117</v>
      </c>
    </row>
    <row r="22" ht="19.5" customHeight="1" hidden="1">
      <c r="B22" t="s">
        <v>118</v>
      </c>
    </row>
    <row r="23" spans="1:2" ht="19.5" customHeight="1" hidden="1">
      <c r="A23" s="354">
        <f>SUM(A20:A22)</f>
        <v>1</v>
      </c>
      <c r="B23" t="s">
        <v>119</v>
      </c>
    </row>
    <row r="24" ht="19.5" customHeight="1" hidden="1"/>
    <row r="25" spans="1:4" ht="19.5" customHeight="1" hidden="1">
      <c r="A25" s="361"/>
      <c r="B25" s="362"/>
      <c r="C25" s="370" t="str">
        <f>IF(A26=0,"",INDEX(C26:C32,A26))</f>
        <v>14</v>
      </c>
      <c r="D25" s="371" t="str">
        <f>CONCATENATE(LEFT(C5,1),C25)</f>
        <v>Ю14</v>
      </c>
    </row>
    <row r="26" spans="1:4" ht="19.5" customHeight="1" hidden="1">
      <c r="A26" s="363">
        <v>3</v>
      </c>
      <c r="B26" t="s">
        <v>94</v>
      </c>
      <c r="C26" s="369" t="s">
        <v>111</v>
      </c>
      <c r="D26" s="379" t="b">
        <v>1</v>
      </c>
    </row>
    <row r="27" spans="2:3" ht="19.5" customHeight="1" hidden="1">
      <c r="B27" t="str">
        <f>IF(D26,"до 13 лет","12 лет и моложе")</f>
        <v>до 13 лет</v>
      </c>
      <c r="C27" s="369" t="s">
        <v>112</v>
      </c>
    </row>
    <row r="28" spans="2:3" ht="19.5" customHeight="1" hidden="1">
      <c r="B28" t="str">
        <f>IF(D26,"до 15 лет","14 лет и моложе")</f>
        <v>до 15 лет</v>
      </c>
      <c r="C28" s="369" t="s">
        <v>113</v>
      </c>
    </row>
    <row r="29" spans="2:3" ht="19.5" customHeight="1" hidden="1">
      <c r="B29" t="str">
        <f>IF(D26,"до 17 лет","16 лет и моложе")</f>
        <v>до 17 лет</v>
      </c>
      <c r="C29" s="369" t="s">
        <v>114</v>
      </c>
    </row>
    <row r="30" spans="2:3" ht="19.5" customHeight="1" hidden="1">
      <c r="B30" t="str">
        <f>IF(D26,"до 19 лет","18 лет и моложе")</f>
        <v>до 19 лет</v>
      </c>
      <c r="C30" s="369" t="s">
        <v>115</v>
      </c>
    </row>
    <row r="31" spans="2:3" ht="19.5" customHeight="1" hidden="1">
      <c r="B31" t="s">
        <v>95</v>
      </c>
      <c r="C31" s="369" t="s">
        <v>6</v>
      </c>
    </row>
    <row r="32" spans="2:3" ht="19.5" customHeight="1" hidden="1">
      <c r="B32" t="s">
        <v>96</v>
      </c>
      <c r="C32" s="369" t="s">
        <v>6</v>
      </c>
    </row>
    <row r="33" ht="19.5" customHeight="1" hidden="1"/>
    <row r="34" spans="1:3" ht="19.5" customHeight="1" hidden="1">
      <c r="A34" s="363">
        <v>1</v>
      </c>
      <c r="B34" t="s">
        <v>97</v>
      </c>
      <c r="C34" t="str">
        <f>IF(A26&gt;5,"Мужчины","Юноши")</f>
        <v>Юноши</v>
      </c>
    </row>
    <row r="35" spans="2:3" ht="19.5" customHeight="1" hidden="1">
      <c r="B35" t="s">
        <v>98</v>
      </c>
      <c r="C35" t="str">
        <f>IF(A26&gt;5,"Женщины","Девушки")</f>
        <v>Девушки</v>
      </c>
    </row>
    <row r="36" ht="19.5" customHeight="1" hidden="1"/>
    <row r="37" spans="1:3" ht="19.5" customHeight="1" hidden="1">
      <c r="A37" s="363">
        <v>6</v>
      </c>
      <c r="B37" t="s">
        <v>99</v>
      </c>
      <c r="C37" t="str">
        <f>IF(A37=0,"",INDEX(B37:B44,A37))</f>
        <v>IV</v>
      </c>
    </row>
    <row r="38" ht="19.5" customHeight="1" hidden="1">
      <c r="B38" t="s">
        <v>100</v>
      </c>
    </row>
    <row r="39" ht="19.5" customHeight="1" hidden="1">
      <c r="B39" t="s">
        <v>101</v>
      </c>
    </row>
    <row r="40" ht="19.5" customHeight="1" hidden="1">
      <c r="B40" t="s">
        <v>102</v>
      </c>
    </row>
    <row r="41" ht="19.5" customHeight="1" hidden="1">
      <c r="B41" t="s">
        <v>103</v>
      </c>
    </row>
    <row r="42" ht="19.5" customHeight="1" hidden="1">
      <c r="B42" t="s">
        <v>104</v>
      </c>
    </row>
    <row r="43" ht="19.5" customHeight="1" hidden="1">
      <c r="B43" t="s">
        <v>105</v>
      </c>
    </row>
    <row r="44" ht="19.5" customHeight="1" hidden="1">
      <c r="B44" t="s">
        <v>106</v>
      </c>
    </row>
    <row r="45" ht="19.5" customHeight="1" hidden="1"/>
    <row r="46" spans="1:3" ht="19.5" customHeight="1" hidden="1">
      <c r="A46" s="363">
        <v>2</v>
      </c>
      <c r="B46" s="44" t="s">
        <v>107</v>
      </c>
      <c r="C46" t="str">
        <f>IF(OR(A46=0,A37&lt;3,A37=8),"",INDEX(B46:B49,A46))</f>
        <v>Б</v>
      </c>
    </row>
    <row r="47" ht="19.5" customHeight="1" hidden="1">
      <c r="B47" s="44" t="s">
        <v>108</v>
      </c>
    </row>
    <row r="48" ht="19.5" customHeight="1" hidden="1">
      <c r="B48" s="44" t="s">
        <v>109</v>
      </c>
    </row>
    <row r="49" ht="19.5" customHeight="1" hidden="1">
      <c r="B49" s="44" t="s">
        <v>110</v>
      </c>
    </row>
    <row r="50" ht="12.75"/>
  </sheetData>
  <sheetProtection password="81FF" sheet="1" objects="1" scenarios="1" selectLockedCells="1"/>
  <printOptions/>
  <pageMargins left="0.75" right="0.75" top="1" bottom="1" header="0.5" footer="0.5"/>
  <pageSetup fitToHeight="5" fitToWidth="1" horizontalDpi="600" verticalDpi="600" orientation="landscape" paperSize="9" r:id="rId3"/>
  <ignoredErrors>
    <ignoredError sqref="C26 C27:C30" numberStoredAsText="1"/>
  </ignoredErrors>
  <drawing r:id="rId2"/>
  <legacyDrawing r:id="rId1"/>
</worksheet>
</file>

<file path=xl/worksheets/sheet10.xml><?xml version="1.0" encoding="utf-8"?>
<worksheet xmlns="http://schemas.openxmlformats.org/spreadsheetml/2006/main" xmlns:r="http://schemas.openxmlformats.org/officeDocument/2006/relationships">
  <sheetPr codeName="Лист8">
    <pageSetUpPr fitToPage="1"/>
  </sheetPr>
  <dimension ref="A1:AD338"/>
  <sheetViews>
    <sheetView showGridLines="0" showRowColHeaders="0" zoomScalePageLayoutView="0" workbookViewId="0" topLeftCell="A1">
      <pane ySplit="12" topLeftCell="A13" activePane="bottomLeft" state="frozen"/>
      <selection pane="topLeft" activeCell="A5" sqref="A5:R5"/>
      <selection pane="bottomLeft" activeCell="A15" sqref="A15:A16"/>
    </sheetView>
  </sheetViews>
  <sheetFormatPr defaultColWidth="7.125" defaultRowHeight="12" customHeight="1"/>
  <cols>
    <col min="1" max="1" width="4.75390625" style="26" customWidth="1"/>
    <col min="2" max="2" width="1.75390625" style="26" customWidth="1"/>
    <col min="3" max="3" width="12.75390625" style="33" customWidth="1"/>
    <col min="4" max="4" width="4.75390625" style="33" customWidth="1"/>
    <col min="5" max="5" width="1.75390625" style="33" customWidth="1"/>
    <col min="6" max="6" width="12.75390625" style="33" customWidth="1"/>
    <col min="7" max="7" width="4.75390625" style="26" customWidth="1"/>
    <col min="8" max="8" width="1.75390625" style="26" customWidth="1"/>
    <col min="9" max="9" width="12.75390625" style="26" customWidth="1"/>
    <col min="10" max="10" width="4.75390625" style="32" customWidth="1"/>
    <col min="11" max="11" width="1.75390625" style="32" customWidth="1"/>
    <col min="12" max="12" width="10.625" style="26" customWidth="1"/>
    <col min="13" max="13" width="7.25390625" style="26" customWidth="1"/>
    <col min="14" max="14" width="1.75390625" style="26" customWidth="1"/>
    <col min="15" max="15" width="7.125" style="26" customWidth="1"/>
    <col min="16" max="16" width="8.625" style="26" customWidth="1"/>
    <col min="17" max="17" width="6.00390625" style="26" customWidth="1"/>
    <col min="18" max="18" width="5.25390625" style="26" customWidth="1"/>
    <col min="19" max="23" width="7.125" style="26" customWidth="1"/>
    <col min="24" max="24" width="11.125" style="26" customWidth="1"/>
    <col min="25" max="16384" width="7.125" style="26" customWidth="1"/>
  </cols>
  <sheetData>
    <row r="1" spans="3:18" ht="15" customHeight="1">
      <c r="C1" s="700"/>
      <c r="D1" s="700"/>
      <c r="E1" s="700"/>
      <c r="F1" s="700"/>
      <c r="G1" s="700"/>
      <c r="H1" s="700"/>
      <c r="I1" s="700"/>
      <c r="J1" s="700"/>
      <c r="K1" s="700"/>
      <c r="L1" s="700"/>
      <c r="M1" s="700"/>
      <c r="N1" s="700"/>
      <c r="O1" s="700"/>
      <c r="P1" s="700"/>
      <c r="Q1" s="700"/>
      <c r="R1" s="700"/>
    </row>
    <row r="2" spans="3:18" ht="11.25" customHeight="1">
      <c r="C2" s="694" t="s">
        <v>25</v>
      </c>
      <c r="D2" s="694"/>
      <c r="E2" s="694"/>
      <c r="F2" s="694"/>
      <c r="G2" s="694"/>
      <c r="H2" s="694"/>
      <c r="I2" s="694"/>
      <c r="J2" s="694"/>
      <c r="K2" s="694"/>
      <c r="L2" s="694"/>
      <c r="M2" s="694"/>
      <c r="N2" s="694"/>
      <c r="O2" s="694"/>
      <c r="P2" s="694"/>
      <c r="Q2" s="694"/>
      <c r="R2" s="694"/>
    </row>
    <row r="3" spans="3:18" ht="10.5" customHeight="1">
      <c r="C3" s="694" t="s">
        <v>151</v>
      </c>
      <c r="D3" s="694"/>
      <c r="E3" s="694"/>
      <c r="F3" s="694"/>
      <c r="G3" s="694"/>
      <c r="H3" s="694"/>
      <c r="I3" s="694"/>
      <c r="J3" s="694"/>
      <c r="K3" s="694"/>
      <c r="L3" s="694"/>
      <c r="M3" s="694"/>
      <c r="N3" s="694"/>
      <c r="O3" s="694"/>
      <c r="P3" s="694"/>
      <c r="Q3" s="106"/>
      <c r="R3" s="100"/>
    </row>
    <row r="4" spans="7:18" ht="6" customHeight="1">
      <c r="G4" s="100"/>
      <c r="H4" s="100"/>
      <c r="I4" s="100"/>
      <c r="J4" s="100"/>
      <c r="K4" s="100"/>
      <c r="L4" s="100"/>
      <c r="M4" s="100"/>
      <c r="N4" s="100"/>
      <c r="O4" s="100"/>
      <c r="P4" s="100"/>
      <c r="Q4" s="100"/>
      <c r="R4" s="100"/>
    </row>
    <row r="5" spans="3:18" s="27" customFormat="1" ht="14.25" customHeight="1">
      <c r="C5" s="695" t="str">
        <f>UPPER(Установка!C3)</f>
        <v>"КУБОК ЮЖНОГО УРАЛА"</v>
      </c>
      <c r="D5" s="695"/>
      <c r="E5" s="695"/>
      <c r="F5" s="695"/>
      <c r="G5" s="695"/>
      <c r="H5" s="695"/>
      <c r="I5" s="695"/>
      <c r="J5" s="695"/>
      <c r="K5" s="695"/>
      <c r="L5" s="695"/>
      <c r="M5" s="695"/>
      <c r="N5" s="695"/>
      <c r="O5" s="695"/>
      <c r="P5" s="695"/>
      <c r="Q5" s="695"/>
      <c r="R5" s="695"/>
    </row>
    <row r="6" spans="3:18" s="27" customFormat="1" ht="11.25" customHeight="1">
      <c r="C6" s="696" t="s">
        <v>3</v>
      </c>
      <c r="D6" s="696"/>
      <c r="E6" s="696"/>
      <c r="F6" s="696"/>
      <c r="G6" s="696"/>
      <c r="H6" s="696"/>
      <c r="I6" s="696"/>
      <c r="J6" s="696"/>
      <c r="K6" s="696"/>
      <c r="L6" s="696"/>
      <c r="M6" s="696"/>
      <c r="N6" s="696"/>
      <c r="O6" s="696"/>
      <c r="P6" s="696"/>
      <c r="Q6" s="696"/>
      <c r="R6" s="696"/>
    </row>
    <row r="7" spans="3:18" s="27" customFormat="1" ht="5.25" customHeight="1">
      <c r="C7" s="125"/>
      <c r="D7" s="125"/>
      <c r="E7" s="125"/>
      <c r="F7" s="125"/>
      <c r="G7" s="29"/>
      <c r="H7" s="29"/>
      <c r="I7" s="29"/>
      <c r="J7" s="29"/>
      <c r="K7" s="29"/>
      <c r="L7" s="29"/>
      <c r="M7" s="29"/>
      <c r="N7" s="29"/>
      <c r="O7" s="29"/>
      <c r="P7" s="29"/>
      <c r="Q7" s="29"/>
      <c r="R7" s="29"/>
    </row>
    <row r="8" spans="3:18" s="27" customFormat="1" ht="11.25" customHeight="1">
      <c r="C8" s="698" t="str">
        <f>CONCATENATE("для проигравших в",ПодгДТ!C54,)</f>
        <v>для проигравших в 1/16 финала</v>
      </c>
      <c r="D8" s="698"/>
      <c r="E8" s="698"/>
      <c r="F8" s="698"/>
      <c r="G8" s="698"/>
      <c r="H8" s="698"/>
      <c r="I8" s="698"/>
      <c r="J8" s="698"/>
      <c r="K8" s="698"/>
      <c r="L8" s="698"/>
      <c r="M8" s="698"/>
      <c r="N8" s="698"/>
      <c r="O8" s="698"/>
      <c r="P8" s="698"/>
      <c r="Q8" s="698"/>
      <c r="R8" s="698"/>
    </row>
    <row r="9" spans="3:18" s="27" customFormat="1" ht="6" customHeight="1">
      <c r="C9" s="125"/>
      <c r="D9" s="125"/>
      <c r="E9" s="125"/>
      <c r="F9" s="125"/>
      <c r="G9" s="29"/>
      <c r="H9" s="29"/>
      <c r="I9" s="29"/>
      <c r="J9" s="29"/>
      <c r="K9" s="29"/>
      <c r="L9" s="29"/>
      <c r="M9" s="29"/>
      <c r="N9" s="29"/>
      <c r="O9" s="29"/>
      <c r="P9" s="29"/>
      <c r="Q9" s="29"/>
      <c r="R9" s="29"/>
    </row>
    <row r="10" spans="3:24" s="143" customFormat="1" ht="19.5" customHeight="1">
      <c r="C10" s="140"/>
      <c r="D10" s="140"/>
      <c r="E10" s="140"/>
      <c r="F10" s="140"/>
      <c r="G10" s="141" t="s">
        <v>1</v>
      </c>
      <c r="H10" s="141"/>
      <c r="I10" s="141"/>
      <c r="J10" s="697" t="str">
        <f>UPPER(Установка!C4)</f>
        <v>ДО 15 ЛЕТ</v>
      </c>
      <c r="K10" s="697"/>
      <c r="L10" s="697"/>
      <c r="M10" s="697"/>
      <c r="N10" s="142"/>
      <c r="O10" s="142"/>
      <c r="P10" s="142"/>
      <c r="R10" s="535" t="str">
        <f>IF(Установка!$C$5="","Ю/Д/М/Ж",UPPER(Установка!$C$5))</f>
        <v>ЮНОШИ</v>
      </c>
      <c r="X10" s="513"/>
    </row>
    <row r="11" spans="10:18" ht="11.25" customHeight="1">
      <c r="J11" s="31"/>
      <c r="K11" s="31"/>
      <c r="L11" s="32"/>
      <c r="M11" s="32"/>
      <c r="N11" s="32"/>
      <c r="O11" s="32"/>
      <c r="P11" s="31"/>
      <c r="R11" s="92"/>
    </row>
    <row r="12" spans="3:18" s="139" customFormat="1" ht="13.5" customHeight="1">
      <c r="C12" s="699" t="s">
        <v>4</v>
      </c>
      <c r="D12" s="699"/>
      <c r="E12" s="136"/>
      <c r="F12" s="586" t="str">
        <f>UPPER(Установка!C6)</f>
        <v>Г.ЧЕЛЯБИНСК</v>
      </c>
      <c r="G12" s="586"/>
      <c r="H12" s="137"/>
      <c r="I12" s="691" t="s">
        <v>0</v>
      </c>
      <c r="J12" s="691"/>
      <c r="K12" s="84"/>
      <c r="L12" s="586" t="str">
        <f>UPPER(Установка!C7)</f>
        <v>30.04.16-06.05.16</v>
      </c>
      <c r="M12" s="586"/>
      <c r="N12" s="138"/>
      <c r="O12" s="691" t="s">
        <v>29</v>
      </c>
      <c r="P12" s="691"/>
      <c r="Q12" s="586" t="str">
        <f>UPPER(Установка!C8)</f>
        <v>IVБ</v>
      </c>
      <c r="R12" s="586"/>
    </row>
    <row r="13" spans="3:18" s="27" customFormat="1" ht="21" customHeight="1">
      <c r="C13" s="729" t="s">
        <v>153</v>
      </c>
      <c r="D13" s="729"/>
      <c r="E13" s="729"/>
      <c r="F13" s="729"/>
      <c r="G13" s="729"/>
      <c r="H13" s="729"/>
      <c r="I13" s="729"/>
      <c r="J13" s="729"/>
      <c r="K13" s="729"/>
      <c r="L13" s="729"/>
      <c r="M13" s="729"/>
      <c r="N13" s="729"/>
      <c r="O13" s="729"/>
      <c r="P13" s="729"/>
      <c r="Q13" s="729"/>
      <c r="R13" s="729"/>
    </row>
    <row r="14" spans="3:18" ht="21" customHeight="1">
      <c r="C14" s="729"/>
      <c r="D14" s="729"/>
      <c r="E14" s="729"/>
      <c r="F14" s="729"/>
      <c r="G14" s="729"/>
      <c r="H14" s="729"/>
      <c r="I14" s="729"/>
      <c r="J14" s="729"/>
      <c r="K14" s="729"/>
      <c r="L14" s="729"/>
      <c r="M14" s="729"/>
      <c r="N14" s="729"/>
      <c r="O14" s="729"/>
      <c r="P14" s="729"/>
      <c r="Q14" s="729"/>
      <c r="R14" s="729"/>
    </row>
    <row r="15" spans="1:18" ht="21" customHeight="1">
      <c r="A15" s="725"/>
      <c r="C15" s="680">
        <f>IF(ПодгДТ!$AA$7,ПодгДТ!AA8,IF($A15="","",IF(AND($A15&lt;17,$A15&gt;=1),INDEX(ПодгДТ!$S$8:$S$23,$A15),"Х")))</f>
      </c>
      <c r="D15" s="675">
        <f>IF(ПодгДТ!$AA$7,ПодгДТ!AB8,IF($A15="","",IF(AND($A15&lt;17,$A15&gt;=1),INDEX(ПодгДТ!$O$8:$O$23,$A15),"")))</f>
      </c>
      <c r="E15" s="94"/>
      <c r="F15" s="94"/>
      <c r="G15" s="107"/>
      <c r="H15" s="107"/>
      <c r="I15" s="107"/>
      <c r="J15" s="107"/>
      <c r="K15" s="107"/>
      <c r="L15" s="107"/>
      <c r="M15" s="107"/>
      <c r="N15" s="107"/>
      <c r="O15" s="107"/>
      <c r="P15" s="107"/>
      <c r="Q15" s="107"/>
      <c r="R15" s="107"/>
    </row>
    <row r="16" spans="1:18" s="27" customFormat="1" ht="21" customHeight="1">
      <c r="A16" s="725"/>
      <c r="C16" s="680"/>
      <c r="D16" s="586"/>
      <c r="E16" s="675">
        <f>IF(E18=0,CONCATENATE("поб.",C15,"/",C17),IF(E18=1,C15,IF(E18=2,C17,"Х")))</f>
      </c>
      <c r="F16" s="675"/>
      <c r="G16" s="675"/>
      <c r="H16" s="94"/>
      <c r="I16" s="94"/>
      <c r="J16" s="108"/>
      <c r="K16" s="108"/>
      <c r="L16" s="109"/>
      <c r="M16" s="109"/>
      <c r="N16" s="109"/>
      <c r="O16" s="108"/>
      <c r="P16" s="108"/>
      <c r="Q16" s="108"/>
      <c r="R16" s="103"/>
    </row>
    <row r="17" spans="1:18" s="27" customFormat="1" ht="21" customHeight="1">
      <c r="A17" s="726" t="s">
        <v>156</v>
      </c>
      <c r="C17" s="681" t="s">
        <v>48</v>
      </c>
      <c r="D17" s="678"/>
      <c r="E17" s="586"/>
      <c r="F17" s="586"/>
      <c r="G17" s="586"/>
      <c r="H17" s="94"/>
      <c r="I17" s="94"/>
      <c r="J17" s="108"/>
      <c r="K17" s="108"/>
      <c r="L17" s="109"/>
      <c r="M17" s="109"/>
      <c r="N17" s="109"/>
      <c r="O17" s="109"/>
      <c r="P17" s="109"/>
      <c r="Q17" s="108"/>
      <c r="R17" s="103"/>
    </row>
    <row r="18" spans="1:18" s="27" customFormat="1" ht="21" customHeight="1">
      <c r="A18" s="726"/>
      <c r="C18" s="682"/>
      <c r="D18" s="679"/>
      <c r="E18" s="514">
        <v>1</v>
      </c>
      <c r="F18" s="676"/>
      <c r="G18" s="676"/>
      <c r="H18" s="683" t="str">
        <f>IF(H20=0,CONCATENATE("поб.",E16,"/",E20),IF(H20=1,E16,IF(H20=2,E20,"Х")))</f>
        <v>поб./</v>
      </c>
      <c r="I18" s="684"/>
      <c r="J18" s="684"/>
      <c r="K18" s="332"/>
      <c r="L18" s="109"/>
      <c r="M18" s="109"/>
      <c r="N18" s="109"/>
      <c r="O18" s="109"/>
      <c r="P18" s="109"/>
      <c r="Q18" s="108"/>
      <c r="R18" s="103"/>
    </row>
    <row r="19" spans="1:18" s="27" customFormat="1" ht="21" customHeight="1">
      <c r="A19" s="726" t="s">
        <v>156</v>
      </c>
      <c r="C19" s="680" t="s">
        <v>48</v>
      </c>
      <c r="D19" s="675"/>
      <c r="E19" s="127"/>
      <c r="F19" s="677"/>
      <c r="G19" s="677"/>
      <c r="H19" s="685"/>
      <c r="I19" s="686"/>
      <c r="J19" s="686"/>
      <c r="K19" s="332"/>
      <c r="L19" s="108"/>
      <c r="M19" s="109"/>
      <c r="N19" s="109"/>
      <c r="O19" s="108"/>
      <c r="P19" s="110"/>
      <c r="Q19" s="111"/>
      <c r="R19" s="103"/>
    </row>
    <row r="20" spans="1:18" s="27" customFormat="1" ht="21" customHeight="1">
      <c r="A20" s="726"/>
      <c r="C20" s="680"/>
      <c r="D20" s="586"/>
      <c r="E20" s="675">
        <f>IF(E22=0,CONCATENATE("поб.",C19,"/",C21),IF(E22=1,C19,IF(E22=2,C21,"Х")))</f>
      </c>
      <c r="F20" s="675"/>
      <c r="G20" s="675"/>
      <c r="H20" s="146"/>
      <c r="I20" s="689"/>
      <c r="J20" s="692"/>
      <c r="K20" s="129"/>
      <c r="L20" s="108"/>
      <c r="M20" s="109"/>
      <c r="N20" s="109"/>
      <c r="O20" s="108"/>
      <c r="P20" s="110"/>
      <c r="Q20" s="111"/>
      <c r="R20" s="103"/>
    </row>
    <row r="21" spans="1:18" s="27" customFormat="1" ht="21" customHeight="1">
      <c r="A21" s="727"/>
      <c r="C21" s="681">
        <f>IF(ПодгДТ!$AA$7,ПодгДТ!AA14,IF($A21="","",IF(AND($A21&lt;17,$A21&gt;=1),INDEX(ПодгДТ!$S$8:$S$23,$A21),"Х")))</f>
      </c>
      <c r="D21" s="678">
        <f>IF(ПодгДТ!$AA$7,ПодгДТ!AB14,IF($A21="","",IF(AND($A21&lt;17,$A21&gt;=1),INDEX(ПодгДТ!$O$8:$O$23,$A21),"")))</f>
      </c>
      <c r="E21" s="586"/>
      <c r="F21" s="586"/>
      <c r="G21" s="586"/>
      <c r="H21" s="95"/>
      <c r="I21" s="690"/>
      <c r="J21" s="693"/>
      <c r="K21" s="129"/>
      <c r="L21" s="109"/>
      <c r="M21" s="109"/>
      <c r="N21" s="109"/>
      <c r="O21" s="108"/>
      <c r="P21" s="110"/>
      <c r="Q21" s="111"/>
      <c r="R21" s="103"/>
    </row>
    <row r="22" spans="1:18" s="27" customFormat="1" ht="21" customHeight="1">
      <c r="A22" s="727"/>
      <c r="C22" s="682"/>
      <c r="D22" s="679"/>
      <c r="E22" s="514">
        <v>2</v>
      </c>
      <c r="F22" s="676"/>
      <c r="G22" s="676"/>
      <c r="H22" s="332"/>
      <c r="I22" s="332"/>
      <c r="J22" s="109"/>
      <c r="K22" s="683" t="str">
        <f>IF(K24=0,CONCATENATE("поб.",H18,"/",H26),IF(K24=1,H18,IF(K24=2,H26,"Х")))</f>
        <v>поб.поб.//поб./</v>
      </c>
      <c r="L22" s="684"/>
      <c r="M22" s="684"/>
      <c r="N22" s="131"/>
      <c r="O22" s="108"/>
      <c r="P22" s="110"/>
      <c r="Q22" s="111"/>
      <c r="R22" s="103"/>
    </row>
    <row r="23" spans="1:18" s="27" customFormat="1" ht="21" customHeight="1">
      <c r="A23" s="725"/>
      <c r="C23" s="680">
        <f>IF(ПодгДТ!$AA$7,ПодгДТ!AA16,IF($A23="","",IF(AND($A23&lt;17,$A23&gt;=1),INDEX(ПодгДТ!$S$8:$S$23,$A23),"Х")))</f>
      </c>
      <c r="D23" s="675">
        <f>IF(ПодгДТ!$AA$7,ПодгДТ!AB16,IF($A23="","",IF(AND($A23&lt;17,$A23&gt;=1),INDEX(ПодгДТ!$O$8:$O$23,$A23),"")))</f>
      </c>
      <c r="E23" s="127"/>
      <c r="F23" s="677"/>
      <c r="G23" s="677"/>
      <c r="H23" s="332"/>
      <c r="I23" s="332"/>
      <c r="J23" s="108"/>
      <c r="K23" s="685"/>
      <c r="L23" s="686"/>
      <c r="M23" s="686"/>
      <c r="N23" s="131"/>
      <c r="O23" s="108"/>
      <c r="P23" s="110"/>
      <c r="Q23" s="108"/>
      <c r="R23" s="103"/>
    </row>
    <row r="24" spans="1:18" s="27" customFormat="1" ht="21" customHeight="1">
      <c r="A24" s="725"/>
      <c r="C24" s="680"/>
      <c r="D24" s="586"/>
      <c r="E24" s="675">
        <f>IF(E26=0,CONCATENATE("поб.",C23,"/",C25),IF(E26=1,C23,IF(E26=2,C25,"Х")))</f>
      </c>
      <c r="F24" s="675"/>
      <c r="G24" s="675"/>
      <c r="H24" s="94"/>
      <c r="I24" s="94"/>
      <c r="J24" s="108"/>
      <c r="K24" s="352"/>
      <c r="L24" s="687"/>
      <c r="M24" s="687"/>
      <c r="N24" s="335"/>
      <c r="O24" s="108"/>
      <c r="P24" s="110"/>
      <c r="Q24" s="109"/>
      <c r="R24" s="103"/>
    </row>
    <row r="25" spans="1:18" s="27" customFormat="1" ht="21" customHeight="1">
      <c r="A25" s="726" t="s">
        <v>156</v>
      </c>
      <c r="C25" s="681" t="s">
        <v>48</v>
      </c>
      <c r="D25" s="678"/>
      <c r="E25" s="586"/>
      <c r="F25" s="586"/>
      <c r="G25" s="586"/>
      <c r="H25" s="94"/>
      <c r="I25" s="94"/>
      <c r="J25" s="109"/>
      <c r="K25" s="113"/>
      <c r="L25" s="688"/>
      <c r="M25" s="688"/>
      <c r="N25" s="335"/>
      <c r="O25" s="108"/>
      <c r="P25" s="110"/>
      <c r="Q25" s="109"/>
      <c r="R25" s="103"/>
    </row>
    <row r="26" spans="1:18" s="27" customFormat="1" ht="21" customHeight="1">
      <c r="A26" s="726"/>
      <c r="C26" s="682"/>
      <c r="D26" s="679"/>
      <c r="E26" s="514">
        <v>1</v>
      </c>
      <c r="F26" s="676"/>
      <c r="G26" s="676"/>
      <c r="H26" s="683" t="str">
        <f>IF(H28=0,CONCATENATE("поб.",E24,"/",E28),IF(H28=1,E24,IF(H28=2,E28,"Х")))</f>
        <v>поб./</v>
      </c>
      <c r="I26" s="684"/>
      <c r="J26" s="684"/>
      <c r="K26" s="346"/>
      <c r="L26" s="108"/>
      <c r="M26" s="109"/>
      <c r="N26" s="113"/>
      <c r="O26" s="108"/>
      <c r="P26" s="110"/>
      <c r="Q26" s="109"/>
      <c r="R26" s="114"/>
    </row>
    <row r="27" spans="1:18" s="27" customFormat="1" ht="21" customHeight="1">
      <c r="A27" s="726" t="s">
        <v>156</v>
      </c>
      <c r="C27" s="680" t="s">
        <v>48</v>
      </c>
      <c r="D27" s="675"/>
      <c r="E27" s="127"/>
      <c r="F27" s="677"/>
      <c r="G27" s="677"/>
      <c r="H27" s="685"/>
      <c r="I27" s="686"/>
      <c r="J27" s="686"/>
      <c r="K27" s="346"/>
      <c r="L27" s="108"/>
      <c r="M27" s="109"/>
      <c r="N27" s="113"/>
      <c r="O27" s="108"/>
      <c r="P27" s="110"/>
      <c r="Q27" s="109"/>
      <c r="R27" s="115"/>
    </row>
    <row r="28" spans="1:18" s="27" customFormat="1" ht="21" customHeight="1">
      <c r="A28" s="726"/>
      <c r="C28" s="680"/>
      <c r="D28" s="586"/>
      <c r="E28" s="675">
        <f>IF(E30=0,CONCATENATE("поб.",C27,"/",C29),IF(E30=1,C27,IF(E30=2,C29,"Х")))</f>
      </c>
      <c r="F28" s="675"/>
      <c r="G28" s="675"/>
      <c r="H28" s="146"/>
      <c r="I28" s="689"/>
      <c r="J28" s="689"/>
      <c r="K28" s="128"/>
      <c r="L28" s="108"/>
      <c r="M28" s="109"/>
      <c r="N28" s="113"/>
      <c r="O28" s="108"/>
      <c r="P28" s="110"/>
      <c r="Q28" s="109"/>
      <c r="R28" s="115"/>
    </row>
    <row r="29" spans="1:18" s="27" customFormat="1" ht="21" customHeight="1">
      <c r="A29" s="727"/>
      <c r="C29" s="681">
        <f>IF(ПодгДТ!$AA$7,ПодгДТ!AA22,IF($A29="","",IF(AND($A29&lt;17,$A29&gt;=1),INDEX(ПодгДТ!$S$8:$S$23,$A29),"Х")))</f>
      </c>
      <c r="D29" s="678">
        <f>IF(ПодгДТ!$AA$7,ПодгДТ!AB22,IF($A29="","",IF(AND($A29&lt;17,$A29&gt;=1),INDEX(ПодгДТ!$O$8:$O$23,$A29),"")))</f>
      </c>
      <c r="E29" s="586"/>
      <c r="F29" s="586"/>
      <c r="G29" s="586"/>
      <c r="H29" s="95"/>
      <c r="I29" s="690"/>
      <c r="J29" s="690"/>
      <c r="K29" s="128"/>
      <c r="L29" s="108"/>
      <c r="M29" s="109"/>
      <c r="N29" s="113"/>
      <c r="O29" s="108"/>
      <c r="P29" s="110"/>
      <c r="Q29" s="109"/>
      <c r="R29" s="110"/>
    </row>
    <row r="30" spans="1:18" s="27" customFormat="1" ht="21" customHeight="1">
      <c r="A30" s="727"/>
      <c r="C30" s="682"/>
      <c r="D30" s="679"/>
      <c r="E30" s="514">
        <v>2</v>
      </c>
      <c r="F30" s="676"/>
      <c r="G30" s="676"/>
      <c r="H30" s="332"/>
      <c r="I30" s="332"/>
      <c r="J30" s="109"/>
      <c r="K30" s="109"/>
      <c r="L30" s="108"/>
      <c r="M30" s="108"/>
      <c r="N30" s="683" t="str">
        <f>IF(N32=0,CONCATENATE("поб.",K22,"/",K38),IF(N32=1,K22,IF(N32=2,K38,"Х")))</f>
        <v>поб.поб.поб.//поб.//поб.поб.//поб./</v>
      </c>
      <c r="O30" s="684"/>
      <c r="P30" s="684"/>
      <c r="Q30" s="111"/>
      <c r="R30" s="110"/>
    </row>
    <row r="31" spans="1:18" s="27" customFormat="1" ht="21" customHeight="1">
      <c r="A31" s="727"/>
      <c r="C31" s="680">
        <f>IF(ПодгДТ!$AA$7,ПодгДТ!AA24,IF($A31="","",IF(AND($A31&lt;17,$A31&gt;=1),INDEX(ПодгДТ!$S$8:$S$23,$A31),"Х")))</f>
      </c>
      <c r="D31" s="675">
        <f>IF(ПодгДТ!$AA$7,ПодгДТ!AB24,IF($A31="","",IF(AND($A31&lt;17,$A31&gt;=1),INDEX(ПодгДТ!$O$8:$O$23,$A31),"")))</f>
      </c>
      <c r="E31" s="127"/>
      <c r="F31" s="677"/>
      <c r="G31" s="677"/>
      <c r="H31" s="332"/>
      <c r="I31" s="332"/>
      <c r="J31" s="108"/>
      <c r="K31" s="108"/>
      <c r="L31" s="108"/>
      <c r="M31" s="108"/>
      <c r="N31" s="685"/>
      <c r="O31" s="686"/>
      <c r="P31" s="686"/>
      <c r="Q31" s="701"/>
      <c r="R31" s="110"/>
    </row>
    <row r="32" spans="1:18" s="27" customFormat="1" ht="21" customHeight="1">
      <c r="A32" s="727"/>
      <c r="C32" s="680"/>
      <c r="D32" s="586"/>
      <c r="E32" s="675">
        <f>IF(E34=0,CONCATENATE("поб.",C31,"/",C33),IF(E34=1,C31,IF(E34=2,C33,"Х")))</f>
      </c>
      <c r="F32" s="675"/>
      <c r="G32" s="675"/>
      <c r="H32" s="94"/>
      <c r="I32" s="94"/>
      <c r="J32" s="108"/>
      <c r="K32" s="108"/>
      <c r="L32" s="108"/>
      <c r="M32" s="108"/>
      <c r="N32" s="352"/>
      <c r="O32" s="702"/>
      <c r="P32" s="702"/>
      <c r="Q32" s="701"/>
      <c r="R32" s="110"/>
    </row>
    <row r="33" spans="1:18" s="27" customFormat="1" ht="21" customHeight="1">
      <c r="A33" s="726" t="s">
        <v>156</v>
      </c>
      <c r="C33" s="681" t="s">
        <v>48</v>
      </c>
      <c r="D33" s="678"/>
      <c r="E33" s="586"/>
      <c r="F33" s="586"/>
      <c r="G33" s="586"/>
      <c r="H33" s="94"/>
      <c r="I33" s="94"/>
      <c r="J33" s="109"/>
      <c r="K33" s="109"/>
      <c r="L33" s="108"/>
      <c r="M33" s="108"/>
      <c r="N33" s="112"/>
      <c r="O33" s="703"/>
      <c r="P33" s="703"/>
      <c r="Q33" s="109"/>
      <c r="R33" s="110"/>
    </row>
    <row r="34" spans="1:18" s="27" customFormat="1" ht="21" customHeight="1">
      <c r="A34" s="726"/>
      <c r="C34" s="682"/>
      <c r="D34" s="679"/>
      <c r="E34" s="514">
        <v>1</v>
      </c>
      <c r="F34" s="676"/>
      <c r="G34" s="676"/>
      <c r="H34" s="683" t="str">
        <f>IF(H36=0,CONCATENATE("поб.",E32,"/",E36),IF(H36=1,E32,IF(H36=2,E36,"Х")))</f>
        <v>поб./</v>
      </c>
      <c r="I34" s="684"/>
      <c r="J34" s="684"/>
      <c r="K34" s="332"/>
      <c r="L34" s="108"/>
      <c r="M34" s="109"/>
      <c r="N34" s="113"/>
      <c r="O34" s="108"/>
      <c r="P34" s="110"/>
      <c r="Q34" s="109"/>
      <c r="R34" s="110"/>
    </row>
    <row r="35" spans="1:18" s="27" customFormat="1" ht="21" customHeight="1">
      <c r="A35" s="726" t="s">
        <v>156</v>
      </c>
      <c r="C35" s="680" t="s">
        <v>48</v>
      </c>
      <c r="D35" s="675"/>
      <c r="E35" s="127"/>
      <c r="F35" s="677"/>
      <c r="G35" s="677"/>
      <c r="H35" s="685"/>
      <c r="I35" s="686"/>
      <c r="J35" s="686"/>
      <c r="K35" s="332"/>
      <c r="L35" s="108"/>
      <c r="M35" s="109"/>
      <c r="N35" s="113"/>
      <c r="O35" s="108"/>
      <c r="P35" s="110"/>
      <c r="Q35" s="109"/>
      <c r="R35" s="110"/>
    </row>
    <row r="36" spans="1:18" s="27" customFormat="1" ht="21" customHeight="1">
      <c r="A36" s="726"/>
      <c r="C36" s="680"/>
      <c r="D36" s="586"/>
      <c r="E36" s="675">
        <f>IF(E38=0,CONCATENATE("поб.",C35,"/",C37),IF(E38=1,C35,IF(E38=2,C37,"Х")))</f>
      </c>
      <c r="F36" s="675"/>
      <c r="G36" s="675"/>
      <c r="H36" s="146"/>
      <c r="I36" s="689"/>
      <c r="J36" s="692"/>
      <c r="K36" s="129"/>
      <c r="L36" s="108"/>
      <c r="M36" s="109"/>
      <c r="N36" s="113"/>
      <c r="O36" s="108"/>
      <c r="P36" s="110"/>
      <c r="Q36" s="109"/>
      <c r="R36" s="110"/>
    </row>
    <row r="37" spans="1:18" s="27" customFormat="1" ht="21" customHeight="1">
      <c r="A37" s="725"/>
      <c r="C37" s="681">
        <f>IF(ПодгДТ!$AA$7,ПодгДТ!AA30,IF($A37="","",IF(AND($A37&lt;17,$A37&gt;=1),INDEX(ПодгДТ!$S$8:$S$23,$A37),"Х")))</f>
      </c>
      <c r="D37" s="678">
        <f>IF(ПодгДТ!$AA$7,ПодгДТ!AB30,IF($A37="","",IF(AND($A37&lt;17,$A37&gt;=1),INDEX(ПодгДТ!$O$8:$O$23,$A37),"")))</f>
      </c>
      <c r="E37" s="586"/>
      <c r="F37" s="586"/>
      <c r="G37" s="586"/>
      <c r="H37" s="95"/>
      <c r="I37" s="690"/>
      <c r="J37" s="693"/>
      <c r="K37" s="129"/>
      <c r="L37" s="109"/>
      <c r="M37" s="109"/>
      <c r="N37" s="113"/>
      <c r="O37" s="108"/>
      <c r="P37" s="110"/>
      <c r="Q37" s="109"/>
      <c r="R37" s="110"/>
    </row>
    <row r="38" spans="1:18" s="27" customFormat="1" ht="21" customHeight="1">
      <c r="A38" s="725"/>
      <c r="C38" s="682"/>
      <c r="D38" s="679"/>
      <c r="E38" s="514">
        <v>2</v>
      </c>
      <c r="F38" s="676"/>
      <c r="G38" s="676"/>
      <c r="H38" s="332"/>
      <c r="I38" s="332"/>
      <c r="J38" s="109"/>
      <c r="K38" s="683" t="str">
        <f>IF(K40=0,CONCATENATE("поб.",H34,"/",H42),IF(K40=1,H34,IF(K40=2,H42,"Х")))</f>
        <v>поб.поб.//поб./</v>
      </c>
      <c r="L38" s="684"/>
      <c r="M38" s="684"/>
      <c r="N38" s="130"/>
      <c r="O38" s="108"/>
      <c r="P38" s="110"/>
      <c r="Q38" s="109"/>
      <c r="R38" s="110"/>
    </row>
    <row r="39" spans="1:30" s="27" customFormat="1" ht="21" customHeight="1">
      <c r="A39" s="727"/>
      <c r="C39" s="680">
        <f>IF(ПодгДТ!$AA$7,ПодгДТ!AA32,IF($A39="","",IF(AND($A39&lt;17,$A39&gt;=1),INDEX(ПодгДТ!$S$8:$S$23,$A39),"Х")))</f>
      </c>
      <c r="D39" s="675">
        <f>IF(ПодгДТ!$AA$7,ПодгДТ!AB32,IF($A39="","",IF(AND($A39&lt;17,$A39&gt;=1),INDEX(ПодгДТ!$O$8:$O$23,$A39),"")))</f>
      </c>
      <c r="E39" s="127"/>
      <c r="F39" s="677"/>
      <c r="G39" s="677"/>
      <c r="H39" s="332"/>
      <c r="I39" s="332"/>
      <c r="J39" s="108"/>
      <c r="K39" s="685"/>
      <c r="L39" s="686"/>
      <c r="M39" s="686"/>
      <c r="N39" s="130"/>
      <c r="O39" s="108"/>
      <c r="P39" s="110"/>
      <c r="Q39" s="108"/>
      <c r="R39" s="110"/>
      <c r="V39" s="116"/>
      <c r="W39" s="108"/>
      <c r="X39" s="108"/>
      <c r="Y39" s="109"/>
      <c r="Z39" s="109"/>
      <c r="AA39" s="108"/>
      <c r="AB39" s="108"/>
      <c r="AC39" s="108"/>
      <c r="AD39" s="111"/>
    </row>
    <row r="40" spans="1:30" s="27" customFormat="1" ht="21" customHeight="1">
      <c r="A40" s="727"/>
      <c r="C40" s="680"/>
      <c r="D40" s="586"/>
      <c r="E40" s="675">
        <f>IF(E42=0,CONCATENATE("поб.",C39,"/",C41),IF(E42=1,C39,IF(E42=2,C41,"Х")))</f>
      </c>
      <c r="F40" s="675"/>
      <c r="G40" s="675"/>
      <c r="H40" s="94"/>
      <c r="I40" s="94"/>
      <c r="J40" s="108"/>
      <c r="K40" s="352"/>
      <c r="L40" s="687"/>
      <c r="M40" s="687"/>
      <c r="N40" s="336"/>
      <c r="O40" s="108"/>
      <c r="P40" s="110"/>
      <c r="Q40" s="109"/>
      <c r="R40" s="110"/>
      <c r="V40" s="108"/>
      <c r="W40" s="108"/>
      <c r="X40" s="108"/>
      <c r="Y40" s="109"/>
      <c r="Z40" s="109"/>
      <c r="AA40" s="109"/>
      <c r="AB40" s="109"/>
      <c r="AC40" s="108"/>
      <c r="AD40" s="111"/>
    </row>
    <row r="41" spans="1:30" s="27" customFormat="1" ht="21" customHeight="1">
      <c r="A41" s="726" t="s">
        <v>156</v>
      </c>
      <c r="C41" s="681" t="s">
        <v>48</v>
      </c>
      <c r="D41" s="678"/>
      <c r="E41" s="586"/>
      <c r="F41" s="586"/>
      <c r="G41" s="586"/>
      <c r="H41" s="94"/>
      <c r="I41" s="94"/>
      <c r="J41" s="109"/>
      <c r="K41" s="113"/>
      <c r="L41" s="688"/>
      <c r="M41" s="688"/>
      <c r="N41" s="336"/>
      <c r="O41" s="108"/>
      <c r="P41" s="110"/>
      <c r="Q41" s="109"/>
      <c r="R41" s="110"/>
      <c r="V41" s="108"/>
      <c r="W41" s="108"/>
      <c r="X41" s="109"/>
      <c r="Y41" s="109"/>
      <c r="Z41" s="109"/>
      <c r="AA41" s="109"/>
      <c r="AB41" s="109"/>
      <c r="AC41" s="108"/>
      <c r="AD41" s="111"/>
    </row>
    <row r="42" spans="1:30" s="27" customFormat="1" ht="21" customHeight="1">
      <c r="A42" s="726"/>
      <c r="C42" s="682"/>
      <c r="D42" s="679"/>
      <c r="E42" s="514">
        <v>1</v>
      </c>
      <c r="F42" s="676"/>
      <c r="G42" s="676"/>
      <c r="H42" s="683" t="str">
        <f>IF(H44=0,CONCATENATE("поб.",E40,"/",E44),IF(H44=1,E40,IF(H44=2,E44,"Х")))</f>
        <v>поб./</v>
      </c>
      <c r="I42" s="684"/>
      <c r="J42" s="684"/>
      <c r="K42" s="346"/>
      <c r="L42" s="108"/>
      <c r="M42" s="109"/>
      <c r="N42" s="109"/>
      <c r="O42" s="108"/>
      <c r="P42" s="110"/>
      <c r="Q42" s="109"/>
      <c r="R42" s="110"/>
      <c r="V42" s="108"/>
      <c r="W42" s="108"/>
      <c r="X42" s="109"/>
      <c r="Y42" s="108"/>
      <c r="Z42" s="109"/>
      <c r="AA42" s="108"/>
      <c r="AB42" s="114"/>
      <c r="AC42" s="111"/>
      <c r="AD42" s="110"/>
    </row>
    <row r="43" spans="1:30" s="27" customFormat="1" ht="21" customHeight="1">
      <c r="A43" s="726" t="s">
        <v>156</v>
      </c>
      <c r="C43" s="680" t="s">
        <v>48</v>
      </c>
      <c r="D43" s="675"/>
      <c r="E43" s="127"/>
      <c r="F43" s="677"/>
      <c r="G43" s="677"/>
      <c r="H43" s="685"/>
      <c r="I43" s="686"/>
      <c r="J43" s="686"/>
      <c r="K43" s="346"/>
      <c r="L43" s="108"/>
      <c r="M43" s="109"/>
      <c r="N43" s="109"/>
      <c r="O43" s="108"/>
      <c r="P43" s="110"/>
      <c r="Q43" s="109"/>
      <c r="R43" s="110"/>
      <c r="V43" s="108"/>
      <c r="W43" s="108"/>
      <c r="X43" s="109"/>
      <c r="Y43" s="108"/>
      <c r="Z43" s="109"/>
      <c r="AA43" s="108"/>
      <c r="AB43" s="114"/>
      <c r="AC43" s="111"/>
      <c r="AD43" s="110"/>
    </row>
    <row r="44" spans="1:30" s="27" customFormat="1" ht="21" customHeight="1">
      <c r="A44" s="726"/>
      <c r="C44" s="680"/>
      <c r="D44" s="586"/>
      <c r="E44" s="675">
        <f>IF(E46=0,CONCATENATE("поб.",C43,"/",C45),IF(E46=1,C43,IF(E46=2,C45,"Х")))</f>
      </c>
      <c r="F44" s="675"/>
      <c r="G44" s="675"/>
      <c r="H44" s="146"/>
      <c r="I44" s="689"/>
      <c r="J44" s="689"/>
      <c r="K44" s="128"/>
      <c r="L44" s="108"/>
      <c r="M44" s="108"/>
      <c r="N44" s="108"/>
      <c r="O44" s="108"/>
      <c r="P44" s="108"/>
      <c r="Q44" s="108"/>
      <c r="R44" s="110"/>
      <c r="V44" s="108"/>
      <c r="W44" s="108"/>
      <c r="X44" s="109"/>
      <c r="Y44" s="109"/>
      <c r="Z44" s="109"/>
      <c r="AA44" s="108"/>
      <c r="AB44" s="114"/>
      <c r="AC44" s="111"/>
      <c r="AD44" s="110"/>
    </row>
    <row r="45" spans="1:30" s="27" customFormat="1" ht="21" customHeight="1">
      <c r="A45" s="725"/>
      <c r="C45" s="681">
        <f>IF(ПодгДТ!$AA$7,ПодгДТ!AA38,IF($A45="","",IF(AND($A45&lt;17,$A45&gt;=1),INDEX(ПодгДТ!$S$8:$S$23,$A45),"Х")))</f>
      </c>
      <c r="D45" s="678">
        <f>IF(ПодгДТ!$AA$7,ПодгДТ!AB38,IF($A45="","",IF(AND($A45&lt;17,$A45&gt;=1),INDEX(ПодгДТ!$O$8:$O$23,$A45),"")))</f>
      </c>
      <c r="E45" s="586"/>
      <c r="F45" s="586"/>
      <c r="G45" s="586"/>
      <c r="H45" s="95"/>
      <c r="I45" s="690"/>
      <c r="J45" s="690"/>
      <c r="K45" s="128"/>
      <c r="L45" s="108"/>
      <c r="M45" s="109"/>
      <c r="N45" s="109"/>
      <c r="O45" s="108"/>
      <c r="P45" s="109"/>
      <c r="Q45" s="108"/>
      <c r="R45" s="110"/>
      <c r="V45" s="108"/>
      <c r="W45" s="108"/>
      <c r="X45" s="109"/>
      <c r="Y45" s="109"/>
      <c r="Z45" s="109"/>
      <c r="AA45" s="108"/>
      <c r="AB45" s="114"/>
      <c r="AC45" s="111"/>
      <c r="AD45" s="110"/>
    </row>
    <row r="46" spans="1:30" s="27" customFormat="1" ht="21" customHeight="1">
      <c r="A46" s="725"/>
      <c r="C46" s="682"/>
      <c r="D46" s="679"/>
      <c r="E46" s="514">
        <v>2</v>
      </c>
      <c r="F46" s="676"/>
      <c r="G46" s="676"/>
      <c r="H46" s="332"/>
      <c r="I46" s="332"/>
      <c r="J46" s="109"/>
      <c r="K46" s="109"/>
      <c r="L46" s="108"/>
      <c r="M46" s="109"/>
      <c r="N46" s="109"/>
      <c r="O46" s="108"/>
      <c r="P46" s="108"/>
      <c r="Q46" s="108"/>
      <c r="R46" s="110"/>
      <c r="V46" s="108"/>
      <c r="W46" s="108"/>
      <c r="X46" s="108"/>
      <c r="Y46" s="109"/>
      <c r="Z46" s="109"/>
      <c r="AA46" s="108"/>
      <c r="AB46" s="114"/>
      <c r="AC46" s="108"/>
      <c r="AD46" s="110"/>
    </row>
    <row r="47" spans="3:30" s="27" customFormat="1" ht="21" customHeight="1">
      <c r="C47" s="104"/>
      <c r="D47" s="104"/>
      <c r="E47" s="127"/>
      <c r="F47" s="677"/>
      <c r="G47" s="677"/>
      <c r="H47" s="332"/>
      <c r="I47" s="332"/>
      <c r="J47" s="109"/>
      <c r="K47" s="109"/>
      <c r="L47" s="108"/>
      <c r="M47" s="109"/>
      <c r="N47" s="109"/>
      <c r="O47" s="108"/>
      <c r="P47" s="108"/>
      <c r="Q47" s="108"/>
      <c r="R47" s="110"/>
      <c r="V47" s="108"/>
      <c r="W47" s="108"/>
      <c r="X47" s="108"/>
      <c r="Y47" s="109"/>
      <c r="Z47" s="109"/>
      <c r="AA47" s="108"/>
      <c r="AB47" s="114"/>
      <c r="AC47" s="108"/>
      <c r="AD47" s="110"/>
    </row>
    <row r="48" spans="3:30" s="27" customFormat="1" ht="10.5" customHeight="1" hidden="1">
      <c r="C48" s="732" t="str">
        <f>CONCATENATE("Для проигравших в",ПодгДТ!F51," финала")</f>
        <v>Для проигравших в финала</v>
      </c>
      <c r="D48" s="732"/>
      <c r="E48" s="732"/>
      <c r="F48" s="732"/>
      <c r="G48" s="732"/>
      <c r="H48" s="732"/>
      <c r="I48" s="732"/>
      <c r="J48" s="732"/>
      <c r="K48" s="732"/>
      <c r="L48" s="732"/>
      <c r="M48" s="732"/>
      <c r="N48" s="732"/>
      <c r="O48" s="732"/>
      <c r="P48" s="732"/>
      <c r="Q48" s="732"/>
      <c r="R48" s="732"/>
      <c r="V48" s="108"/>
      <c r="W48" s="108"/>
      <c r="X48" s="108"/>
      <c r="Y48" s="109"/>
      <c r="Z48" s="109"/>
      <c r="AA48" s="108"/>
      <c r="AB48" s="114"/>
      <c r="AC48" s="109"/>
      <c r="AD48" s="110"/>
    </row>
    <row r="49" spans="3:30" s="27" customFormat="1" ht="10.5" customHeight="1" hidden="1">
      <c r="C49" s="732"/>
      <c r="D49" s="732"/>
      <c r="E49" s="732"/>
      <c r="F49" s="732"/>
      <c r="G49" s="732"/>
      <c r="H49" s="732"/>
      <c r="I49" s="732"/>
      <c r="J49" s="732"/>
      <c r="K49" s="732"/>
      <c r="L49" s="732"/>
      <c r="M49" s="732"/>
      <c r="N49" s="732"/>
      <c r="O49" s="732"/>
      <c r="P49" s="732"/>
      <c r="Q49" s="732"/>
      <c r="R49" s="732"/>
      <c r="V49" s="108"/>
      <c r="W49" s="108"/>
      <c r="X49" s="109"/>
      <c r="Y49" s="108"/>
      <c r="Z49" s="109"/>
      <c r="AA49" s="108"/>
      <c r="AB49" s="114"/>
      <c r="AC49" s="109"/>
      <c r="AD49" s="110"/>
    </row>
    <row r="50" spans="3:30" s="27" customFormat="1" ht="10.5" customHeight="1" hidden="1">
      <c r="C50" s="93"/>
      <c r="D50" s="713"/>
      <c r="E50" s="93"/>
      <c r="F50" s="680" t="str">
        <f>IF(ПодгДТ!$AC$7,ПодгДТ!AC8,IF($D50="","",IF(AND($D50&lt;9,$D50&gt;=1),INDEX(ПодгДТ!$S$25:$S$32,$D50),"Х")))</f>
        <v>ЕРМАКОВ</v>
      </c>
      <c r="G50" s="680" t="str">
        <f>IF(ПодгДТ!$AC$7,ПодгДТ!AD8,IF($D50="","",IF(AND($D50&lt;9,$D50&gt;=1),INDEX(ПодгДТ!$O$25:$O$32,$D50),"")))</f>
        <v>А.М.</v>
      </c>
      <c r="H50" s="337"/>
      <c r="I50" s="337"/>
      <c r="J50" s="338"/>
      <c r="K50" s="338"/>
      <c r="L50" s="339"/>
      <c r="M50" s="339"/>
      <c r="N50" s="339"/>
      <c r="O50" s="338"/>
      <c r="P50" s="338"/>
      <c r="Q50" s="340"/>
      <c r="R50" s="28"/>
      <c r="V50" s="108"/>
      <c r="W50" s="108"/>
      <c r="X50" s="108"/>
      <c r="Y50" s="108"/>
      <c r="Z50" s="109"/>
      <c r="AA50" s="108"/>
      <c r="AB50" s="114"/>
      <c r="AC50" s="109"/>
      <c r="AD50" s="110"/>
    </row>
    <row r="51" spans="3:30" s="27" customFormat="1" ht="10.5" customHeight="1" hidden="1">
      <c r="C51" s="93"/>
      <c r="D51" s="714"/>
      <c r="E51" s="93"/>
      <c r="F51" s="620"/>
      <c r="G51" s="682"/>
      <c r="H51" s="337"/>
      <c r="I51" s="337"/>
      <c r="J51" s="338"/>
      <c r="K51" s="338"/>
      <c r="L51" s="339"/>
      <c r="M51" s="339"/>
      <c r="N51" s="339"/>
      <c r="O51" s="339"/>
      <c r="P51" s="339"/>
      <c r="Q51" s="340"/>
      <c r="R51" s="118"/>
      <c r="V51" s="108"/>
      <c r="W51" s="108"/>
      <c r="X51" s="108"/>
      <c r="Y51" s="108"/>
      <c r="Z51" s="109"/>
      <c r="AA51" s="108"/>
      <c r="AB51" s="114"/>
      <c r="AC51" s="109"/>
      <c r="AD51" s="110"/>
    </row>
    <row r="52" spans="3:30" s="27" customFormat="1" ht="10.5" customHeight="1" hidden="1">
      <c r="C52" s="93"/>
      <c r="D52" s="728"/>
      <c r="E52" s="93"/>
      <c r="F52" s="704"/>
      <c r="G52" s="705"/>
      <c r="H52" s="683" t="str">
        <f>IF(H54=0,CONCATENATE("поб.",F50,"/",F54),IF(H54=1,F50,IF(H54=2,F54,"Х")))</f>
        <v>поб.ЕРМАКОВ/ЮРКОВ</v>
      </c>
      <c r="I52" s="684"/>
      <c r="J52" s="684"/>
      <c r="K52" s="94"/>
      <c r="L52" s="34"/>
      <c r="M52" s="34"/>
      <c r="N52" s="343"/>
      <c r="O52" s="343"/>
      <c r="P52" s="343"/>
      <c r="Q52" s="117"/>
      <c r="R52" s="118"/>
      <c r="V52" s="108"/>
      <c r="W52" s="108"/>
      <c r="X52" s="109"/>
      <c r="Y52" s="108"/>
      <c r="Z52" s="109"/>
      <c r="AA52" s="108"/>
      <c r="AB52" s="114"/>
      <c r="AC52" s="109"/>
      <c r="AD52" s="110"/>
    </row>
    <row r="53" spans="3:30" s="27" customFormat="1" ht="10.5" customHeight="1" hidden="1">
      <c r="C53" s="93"/>
      <c r="D53" s="728"/>
      <c r="E53" s="93"/>
      <c r="F53" s="716"/>
      <c r="G53" s="707"/>
      <c r="H53" s="685"/>
      <c r="I53" s="686"/>
      <c r="J53" s="686"/>
      <c r="K53" s="94"/>
      <c r="L53" s="25"/>
      <c r="M53" s="34"/>
      <c r="N53" s="343"/>
      <c r="O53" s="153"/>
      <c r="P53" s="344"/>
      <c r="Q53" s="117"/>
      <c r="R53" s="118"/>
      <c r="V53" s="108"/>
      <c r="W53" s="108"/>
      <c r="X53" s="109"/>
      <c r="Y53" s="108"/>
      <c r="Z53" s="109"/>
      <c r="AA53" s="108"/>
      <c r="AB53" s="114"/>
      <c r="AC53" s="109"/>
      <c r="AD53" s="110"/>
    </row>
    <row r="54" spans="3:30" s="27" customFormat="1" ht="10.5" customHeight="1" hidden="1">
      <c r="C54" s="93"/>
      <c r="D54" s="730"/>
      <c r="E54" s="93"/>
      <c r="F54" s="680" t="str">
        <f>IF(ПодгДТ!$AC$7,ПодгДТ!AC12,IF($D54="","",IF(AND($D54&lt;9,$D54&gt;=1),INDEX(ПодгДТ!$S$25:$S$32,$D54),"Х")))</f>
        <v>ЮРКОВ</v>
      </c>
      <c r="G54" s="721" t="str">
        <f>IF(ПодгДТ!$AC$7,ПодгДТ!AD12,IF($D54="","",IF(AND($D54&lt;9,$D54&gt;=1),INDEX(ПодгДТ!$O$25:$O$32,$D54),"")))</f>
        <v>Д.И.</v>
      </c>
      <c r="H54" s="152"/>
      <c r="I54" s="689"/>
      <c r="J54" s="692"/>
      <c r="K54" s="129"/>
      <c r="L54" s="25"/>
      <c r="M54" s="34"/>
      <c r="N54" s="343"/>
      <c r="O54" s="153"/>
      <c r="P54" s="344"/>
      <c r="Q54" s="110"/>
      <c r="R54" s="118"/>
      <c r="V54" s="108"/>
      <c r="W54" s="108"/>
      <c r="X54" s="109"/>
      <c r="Y54" s="108"/>
      <c r="Z54" s="108"/>
      <c r="AA54" s="109"/>
      <c r="AB54" s="109"/>
      <c r="AC54" s="111"/>
      <c r="AD54" s="110"/>
    </row>
    <row r="55" spans="3:30" s="27" customFormat="1" ht="10.5" customHeight="1" hidden="1">
      <c r="C55" s="93"/>
      <c r="D55" s="731"/>
      <c r="E55" s="93"/>
      <c r="F55" s="720"/>
      <c r="G55" s="722"/>
      <c r="H55" s="341"/>
      <c r="I55" s="690"/>
      <c r="J55" s="693"/>
      <c r="K55" s="129"/>
      <c r="L55" s="34"/>
      <c r="M55" s="34"/>
      <c r="N55" s="343"/>
      <c r="O55" s="153"/>
      <c r="P55" s="344"/>
      <c r="Q55" s="119"/>
      <c r="R55" s="28"/>
      <c r="V55" s="108"/>
      <c r="W55" s="108"/>
      <c r="X55" s="108"/>
      <c r="Y55" s="108"/>
      <c r="Z55" s="108"/>
      <c r="AA55" s="109"/>
      <c r="AB55" s="109"/>
      <c r="AC55" s="109"/>
      <c r="AD55" s="110"/>
    </row>
    <row r="56" spans="3:30" s="27" customFormat="1" ht="10.5" customHeight="1" hidden="1">
      <c r="C56" s="93"/>
      <c r="D56" s="728"/>
      <c r="E56" s="93"/>
      <c r="F56" s="704"/>
      <c r="G56" s="704"/>
      <c r="H56" s="99"/>
      <c r="I56" s="93"/>
      <c r="J56" s="34"/>
      <c r="K56" s="683" t="str">
        <f>IF(K58=0,CONCATENATE("поб.",H52,"/",H60),IF(K58=1,H52,IF(K58=2,H60,"Х")))</f>
        <v>поб.поб.ЕРМАКОВ/ЮРКОВ/поб.БОРОХОВ/НОВИКОВ</v>
      </c>
      <c r="L56" s="684"/>
      <c r="M56" s="684"/>
      <c r="N56" s="96"/>
      <c r="O56" s="153"/>
      <c r="P56" s="344"/>
      <c r="Q56" s="119"/>
      <c r="R56" s="28"/>
      <c r="V56" s="108"/>
      <c r="W56" s="108"/>
      <c r="X56" s="108"/>
      <c r="Y56" s="108"/>
      <c r="Z56" s="108"/>
      <c r="AA56" s="108"/>
      <c r="AB56" s="114"/>
      <c r="AC56" s="109"/>
      <c r="AD56" s="110"/>
    </row>
    <row r="57" spans="3:30" s="27" customFormat="1" ht="10.5" customHeight="1" hidden="1">
      <c r="C57" s="93"/>
      <c r="D57" s="728"/>
      <c r="E57" s="93"/>
      <c r="F57" s="716"/>
      <c r="G57" s="716"/>
      <c r="H57" s="99"/>
      <c r="I57" s="99"/>
      <c r="J57" s="25"/>
      <c r="K57" s="685"/>
      <c r="L57" s="686"/>
      <c r="M57" s="686"/>
      <c r="N57" s="96"/>
      <c r="O57" s="153"/>
      <c r="P57" s="344"/>
      <c r="Q57" s="119"/>
      <c r="R57" s="28"/>
      <c r="V57" s="108"/>
      <c r="W57" s="108"/>
      <c r="X57" s="109"/>
      <c r="Y57" s="108"/>
      <c r="Z57" s="108"/>
      <c r="AA57" s="108"/>
      <c r="AB57" s="114"/>
      <c r="AC57" s="109"/>
      <c r="AD57" s="110"/>
    </row>
    <row r="58" spans="3:30" s="27" customFormat="1" ht="10.5" customHeight="1" hidden="1">
      <c r="C58" s="93"/>
      <c r="D58" s="730"/>
      <c r="E58" s="93"/>
      <c r="F58" s="680" t="str">
        <f>IF(ПодгДТ!$AC$7,ПодгДТ!AC16,IF($D58="","",IF(AND($D58&lt;9,$D58&gt;=1),INDEX(ПодгДТ!$S$25:$S$32,$D58),"Х")))</f>
        <v>БОРОХОВ</v>
      </c>
      <c r="G58" s="680" t="str">
        <f>IF(ПодгДТ!$AC$7,ПодгДТ!AD16,IF($D58="","",IF(AND($D58&lt;9,$D58&gt;=1),INDEX(ПодгДТ!$O$25:$O$32,$D58),"")))</f>
        <v>С.О.</v>
      </c>
      <c r="H58" s="71"/>
      <c r="I58" s="71"/>
      <c r="J58" s="25"/>
      <c r="K58" s="147"/>
      <c r="L58" s="617"/>
      <c r="M58" s="617"/>
      <c r="N58" s="345"/>
      <c r="O58" s="153"/>
      <c r="P58" s="344"/>
      <c r="Q58" s="110"/>
      <c r="R58" s="28"/>
      <c r="V58" s="108"/>
      <c r="W58" s="108"/>
      <c r="X58" s="108"/>
      <c r="Y58" s="108"/>
      <c r="Z58" s="109"/>
      <c r="AA58" s="108"/>
      <c r="AB58" s="114"/>
      <c r="AC58" s="109"/>
      <c r="AD58" s="110"/>
    </row>
    <row r="59" spans="3:30" s="27" customFormat="1" ht="10.5" customHeight="1" hidden="1">
      <c r="C59" s="93"/>
      <c r="D59" s="731"/>
      <c r="E59" s="93"/>
      <c r="F59" s="682"/>
      <c r="G59" s="682"/>
      <c r="H59" s="71"/>
      <c r="I59" s="71"/>
      <c r="J59" s="34"/>
      <c r="K59" s="342"/>
      <c r="L59" s="717"/>
      <c r="M59" s="717"/>
      <c r="N59" s="345"/>
      <c r="O59" s="153"/>
      <c r="P59" s="344"/>
      <c r="Q59" s="110"/>
      <c r="R59" s="28"/>
      <c r="V59" s="108"/>
      <c r="W59" s="108"/>
      <c r="X59" s="108"/>
      <c r="Y59" s="108"/>
      <c r="Z59" s="109"/>
      <c r="AA59" s="108"/>
      <c r="AB59" s="114"/>
      <c r="AC59" s="109"/>
      <c r="AD59" s="110"/>
    </row>
    <row r="60" spans="3:30" s="27" customFormat="1" ht="10.5" customHeight="1" hidden="1">
      <c r="C60" s="93"/>
      <c r="D60" s="728"/>
      <c r="E60" s="93"/>
      <c r="F60" s="704"/>
      <c r="G60" s="705"/>
      <c r="H60" s="683" t="str">
        <f>IF(H62=0,CONCATENATE("поб.",F58,"/",F62),IF(H62=1,F58,IF(H62=2,F62,"Х")))</f>
        <v>поб.БОРОХОВ/НОВИКОВ</v>
      </c>
      <c r="I60" s="684"/>
      <c r="J60" s="684"/>
      <c r="K60" s="95"/>
      <c r="L60" s="25"/>
      <c r="M60" s="34"/>
      <c r="N60" s="342"/>
      <c r="O60" s="153"/>
      <c r="P60" s="344"/>
      <c r="Q60" s="110"/>
      <c r="R60" s="28"/>
      <c r="V60" s="108"/>
      <c r="W60" s="108"/>
      <c r="X60" s="109"/>
      <c r="Y60" s="108"/>
      <c r="Z60" s="109"/>
      <c r="AA60" s="108"/>
      <c r="AB60" s="114"/>
      <c r="AC60" s="109"/>
      <c r="AD60" s="110"/>
    </row>
    <row r="61" spans="3:30" s="27" customFormat="1" ht="10.5" customHeight="1" hidden="1">
      <c r="C61" s="93"/>
      <c r="D61" s="728"/>
      <c r="E61" s="93"/>
      <c r="F61" s="716"/>
      <c r="G61" s="707"/>
      <c r="H61" s="685"/>
      <c r="I61" s="686"/>
      <c r="J61" s="686"/>
      <c r="K61" s="95"/>
      <c r="L61" s="25"/>
      <c r="M61" s="34"/>
      <c r="N61" s="342"/>
      <c r="O61" s="153"/>
      <c r="P61" s="344"/>
      <c r="Q61" s="110"/>
      <c r="R61" s="28"/>
      <c r="V61" s="108"/>
      <c r="W61" s="108"/>
      <c r="X61" s="109"/>
      <c r="Y61" s="108"/>
      <c r="Z61" s="108"/>
      <c r="AA61" s="108"/>
      <c r="AB61" s="114"/>
      <c r="AC61" s="109"/>
      <c r="AD61" s="110"/>
    </row>
    <row r="62" spans="3:30" s="27" customFormat="1" ht="10.5" customHeight="1" hidden="1">
      <c r="C62" s="93"/>
      <c r="D62" s="730"/>
      <c r="E62" s="93"/>
      <c r="F62" s="680" t="str">
        <f>IF(ПодгДТ!$AC$7,ПодгДТ!AC20,IF($D62="","",IF(AND($D62&lt;9,$D62&gt;=1),INDEX(ПодгДТ!$S$25:$S$32,$D62),"Х")))</f>
        <v>НОВИКОВ</v>
      </c>
      <c r="G62" s="721" t="str">
        <f>IF(ПодгДТ!$AC$7,ПодгДТ!AD20,IF($D62="","",IF(AND($D62&lt;9,$D62&gt;=1),INDEX(ПодгДТ!$O$25:$O$32,$D62),"")))</f>
        <v>Н.А.</v>
      </c>
      <c r="H62" s="152"/>
      <c r="I62" s="689"/>
      <c r="J62" s="689"/>
      <c r="K62" s="128"/>
      <c r="L62" s="25"/>
      <c r="M62" s="34"/>
      <c r="N62" s="342"/>
      <c r="O62" s="153"/>
      <c r="P62" s="344"/>
      <c r="Q62" s="110"/>
      <c r="R62" s="28"/>
      <c r="V62" s="108"/>
      <c r="W62" s="108"/>
      <c r="X62" s="109"/>
      <c r="Y62" s="108"/>
      <c r="Z62" s="108"/>
      <c r="AA62" s="108"/>
      <c r="AB62" s="114"/>
      <c r="AC62" s="109"/>
      <c r="AD62" s="110"/>
    </row>
    <row r="63" spans="3:30" s="27" customFormat="1" ht="10.5" customHeight="1" hidden="1">
      <c r="C63" s="93"/>
      <c r="D63" s="731"/>
      <c r="E63" s="93"/>
      <c r="F63" s="720"/>
      <c r="G63" s="722"/>
      <c r="H63" s="341"/>
      <c r="I63" s="690"/>
      <c r="J63" s="690"/>
      <c r="K63" s="128"/>
      <c r="L63" s="25"/>
      <c r="M63" s="34"/>
      <c r="N63" s="342"/>
      <c r="O63" s="153"/>
      <c r="P63" s="344"/>
      <c r="Q63" s="118"/>
      <c r="R63" s="28"/>
      <c r="V63" s="108"/>
      <c r="W63" s="108"/>
      <c r="X63" s="108"/>
      <c r="Y63" s="108"/>
      <c r="Z63" s="108"/>
      <c r="AA63" s="108"/>
      <c r="AB63" s="114"/>
      <c r="AC63" s="108"/>
      <c r="AD63" s="110"/>
    </row>
    <row r="64" spans="3:30" s="27" customFormat="1" ht="10.5" customHeight="1" hidden="1">
      <c r="C64" s="93"/>
      <c r="D64" s="728"/>
      <c r="E64" s="93"/>
      <c r="F64" s="704"/>
      <c r="G64" s="704"/>
      <c r="H64" s="99"/>
      <c r="I64" s="93"/>
      <c r="J64" s="34"/>
      <c r="K64" s="343"/>
      <c r="L64" s="25"/>
      <c r="M64" s="25"/>
      <c r="N64" s="683" t="str">
        <f>IF(N66=0,CONCATENATE("поб.",K56,"/",K72),IF(N66=1,K56,IF(N66=2,K72,"Х")))</f>
        <v>поб.поб.поб.ЕРМАКОВ/ЮРКОВ/поб.БОРОХОВ/НОВИКОВ/поб.поб.ХЛОПУНОВ/СМИРНОВ/поб.КОЗЛОВ/ШАЙХУТДИНОВ</v>
      </c>
      <c r="O64" s="684"/>
      <c r="P64" s="684"/>
      <c r="Q64" s="118"/>
      <c r="R64" s="28"/>
      <c r="V64" s="108"/>
      <c r="W64" s="108"/>
      <c r="X64" s="108"/>
      <c r="Y64" s="116"/>
      <c r="Z64" s="116"/>
      <c r="AA64" s="108"/>
      <c r="AB64" s="114"/>
      <c r="AC64" s="108"/>
      <c r="AD64" s="110"/>
    </row>
    <row r="65" spans="3:30" s="27" customFormat="1" ht="10.5" customHeight="1" hidden="1">
      <c r="C65" s="93"/>
      <c r="D65" s="728"/>
      <c r="E65" s="93"/>
      <c r="F65" s="716"/>
      <c r="G65" s="716"/>
      <c r="H65" s="99"/>
      <c r="I65" s="93"/>
      <c r="J65" s="25"/>
      <c r="K65" s="153"/>
      <c r="L65" s="25"/>
      <c r="M65" s="25"/>
      <c r="N65" s="685"/>
      <c r="O65" s="686"/>
      <c r="P65" s="686"/>
      <c r="Q65" s="118"/>
      <c r="R65" s="28"/>
      <c r="V65" s="108"/>
      <c r="W65" s="108"/>
      <c r="X65" s="108"/>
      <c r="Y65" s="116"/>
      <c r="Z65" s="116"/>
      <c r="AA65" s="108"/>
      <c r="AB65" s="114"/>
      <c r="AC65" s="108"/>
      <c r="AD65" s="110"/>
    </row>
    <row r="66" spans="3:30" s="27" customFormat="1" ht="10.5" customHeight="1" hidden="1">
      <c r="C66" s="93"/>
      <c r="D66" s="730"/>
      <c r="E66" s="93"/>
      <c r="F66" s="680" t="str">
        <f>IF(ПодгДТ!$AC$7,ПодгДТ!AC24,IF($D66="","",IF(AND($D66&lt;9,$D66&gt;=1),INDEX(ПодгДТ!$S$25:$S$32,$D66),"Х")))</f>
        <v>ХЛОПУНОВ</v>
      </c>
      <c r="G66" s="680" t="str">
        <f>IF(ПодгДТ!$AC$7,ПодгДТ!AD24,IF($D66="","",IF(AND($D66&lt;9,$D66&gt;=1),INDEX(ПодгДТ!$O$25:$O$32,$D66),"")))</f>
        <v>В.А.</v>
      </c>
      <c r="H66" s="71"/>
      <c r="I66" s="71"/>
      <c r="J66" s="25"/>
      <c r="K66" s="153"/>
      <c r="L66" s="25"/>
      <c r="M66" s="25"/>
      <c r="N66" s="147"/>
      <c r="O66" s="718"/>
      <c r="P66" s="718"/>
      <c r="Q66" s="118"/>
      <c r="R66" s="28"/>
      <c r="V66" s="108"/>
      <c r="W66" s="108"/>
      <c r="X66" s="108"/>
      <c r="Y66" s="116"/>
      <c r="Z66" s="116"/>
      <c r="AA66" s="108"/>
      <c r="AB66" s="114"/>
      <c r="AC66" s="108"/>
      <c r="AD66" s="110"/>
    </row>
    <row r="67" spans="3:30" s="27" customFormat="1" ht="10.5" customHeight="1" hidden="1">
      <c r="C67" s="93"/>
      <c r="D67" s="731"/>
      <c r="E67" s="93"/>
      <c r="F67" s="682"/>
      <c r="G67" s="682"/>
      <c r="H67" s="71"/>
      <c r="I67" s="71"/>
      <c r="J67" s="34"/>
      <c r="K67" s="343"/>
      <c r="L67" s="25"/>
      <c r="M67" s="25"/>
      <c r="N67" s="132"/>
      <c r="O67" s="719"/>
      <c r="P67" s="719"/>
      <c r="Q67" s="118"/>
      <c r="R67" s="28"/>
      <c r="V67" s="108"/>
      <c r="W67" s="108"/>
      <c r="X67" s="108"/>
      <c r="Y67" s="116"/>
      <c r="Z67" s="116"/>
      <c r="AA67" s="108"/>
      <c r="AB67" s="114"/>
      <c r="AC67" s="108"/>
      <c r="AD67" s="110"/>
    </row>
    <row r="68" spans="3:30" s="27" customFormat="1" ht="10.5" customHeight="1" hidden="1">
      <c r="C68" s="93"/>
      <c r="D68" s="728"/>
      <c r="E68" s="93"/>
      <c r="F68" s="704"/>
      <c r="G68" s="705"/>
      <c r="H68" s="683" t="str">
        <f>IF(H70=0,CONCATENATE("поб.",F66,"/",F70),IF(H70=1,F66,IF(H70=2,F70,"Х")))</f>
        <v>поб.ХЛОПУНОВ/СМИРНОВ</v>
      </c>
      <c r="I68" s="684"/>
      <c r="J68" s="684"/>
      <c r="K68" s="94"/>
      <c r="L68" s="25"/>
      <c r="M68" s="34"/>
      <c r="N68" s="97"/>
      <c r="O68" s="25"/>
      <c r="P68" s="133"/>
      <c r="Q68" s="118"/>
      <c r="R68" s="28"/>
      <c r="V68" s="108"/>
      <c r="W68" s="108"/>
      <c r="X68" s="108"/>
      <c r="Y68" s="116"/>
      <c r="Z68" s="116"/>
      <c r="AA68" s="108"/>
      <c r="AB68" s="114"/>
      <c r="AC68" s="108"/>
      <c r="AD68" s="110"/>
    </row>
    <row r="69" spans="3:30" s="27" customFormat="1" ht="10.5" customHeight="1" hidden="1">
      <c r="C69" s="93"/>
      <c r="D69" s="728"/>
      <c r="E69" s="93"/>
      <c r="F69" s="716"/>
      <c r="G69" s="707"/>
      <c r="H69" s="685"/>
      <c r="I69" s="686"/>
      <c r="J69" s="686"/>
      <c r="K69" s="94"/>
      <c r="L69" s="25"/>
      <c r="M69" s="34"/>
      <c r="N69" s="97"/>
      <c r="O69" s="25"/>
      <c r="P69" s="133"/>
      <c r="Q69" s="118"/>
      <c r="R69" s="28"/>
      <c r="V69" s="108"/>
      <c r="W69" s="108"/>
      <c r="X69" s="108"/>
      <c r="Y69" s="116"/>
      <c r="Z69" s="116"/>
      <c r="AA69" s="108"/>
      <c r="AB69" s="114"/>
      <c r="AC69" s="108"/>
      <c r="AD69" s="110"/>
    </row>
    <row r="70" spans="3:30" s="27" customFormat="1" ht="10.5" customHeight="1" hidden="1">
      <c r="C70" s="93"/>
      <c r="D70" s="730"/>
      <c r="E70" s="93"/>
      <c r="F70" s="680" t="str">
        <f>IF(ПодгДТ!$AC$7,ПодгДТ!AC28,IF($D70="","",IF(AND($D70&lt;9,$D70&gt;=1),INDEX(ПодгДТ!$S$25:$S$32,$D70),"Х")))</f>
        <v>СМИРНОВ</v>
      </c>
      <c r="G70" s="721" t="str">
        <f>IF(ПодгДТ!$AC$7,ПодгДТ!AD28,IF($D70="","",IF(AND($D70&lt;9,$D70&gt;=1),INDEX(ПодгДТ!$O$25:$O$32,$D70),"")))</f>
        <v>Д.В.</v>
      </c>
      <c r="H70" s="152"/>
      <c r="I70" s="689"/>
      <c r="J70" s="692"/>
      <c r="K70" s="129"/>
      <c r="L70" s="25"/>
      <c r="M70" s="34"/>
      <c r="N70" s="97"/>
      <c r="O70" s="25"/>
      <c r="P70" s="133"/>
      <c r="Q70" s="118"/>
      <c r="R70" s="28"/>
      <c r="V70" s="108"/>
      <c r="W70" s="108"/>
      <c r="X70" s="108"/>
      <c r="Y70" s="116"/>
      <c r="Z70" s="116"/>
      <c r="AA70" s="108"/>
      <c r="AB70" s="114"/>
      <c r="AC70" s="108"/>
      <c r="AD70" s="110"/>
    </row>
    <row r="71" spans="3:30" s="27" customFormat="1" ht="10.5" customHeight="1" hidden="1">
      <c r="C71" s="93"/>
      <c r="D71" s="731"/>
      <c r="E71" s="93"/>
      <c r="F71" s="720"/>
      <c r="G71" s="722"/>
      <c r="H71" s="341"/>
      <c r="I71" s="690"/>
      <c r="J71" s="693"/>
      <c r="K71" s="129"/>
      <c r="L71" s="34"/>
      <c r="M71" s="34"/>
      <c r="N71" s="97"/>
      <c r="O71" s="25"/>
      <c r="P71" s="133"/>
      <c r="Q71" s="118"/>
      <c r="R71" s="28"/>
      <c r="V71" s="108"/>
      <c r="W71" s="108"/>
      <c r="X71" s="108"/>
      <c r="Y71" s="116"/>
      <c r="Z71" s="116"/>
      <c r="AA71" s="108"/>
      <c r="AB71" s="114"/>
      <c r="AC71" s="108"/>
      <c r="AD71" s="110"/>
    </row>
    <row r="72" spans="3:30" s="27" customFormat="1" ht="10.5" customHeight="1" hidden="1">
      <c r="C72" s="93"/>
      <c r="D72" s="728"/>
      <c r="E72" s="93"/>
      <c r="F72" s="704"/>
      <c r="G72" s="704"/>
      <c r="H72" s="99"/>
      <c r="I72" s="93"/>
      <c r="J72" s="34"/>
      <c r="K72" s="683" t="str">
        <f>IF(K74=0,CONCATENATE("поб.",H68,"/",H76),IF(K74=1,H68,IF(K74=2,H76,"Х")))</f>
        <v>поб.поб.ХЛОПУНОВ/СМИРНОВ/поб.КОЗЛОВ/ШАЙХУТДИНОВ</v>
      </c>
      <c r="L72" s="684"/>
      <c r="M72" s="684"/>
      <c r="N72" s="134"/>
      <c r="O72" s="25"/>
      <c r="P72" s="133"/>
      <c r="Q72" s="118"/>
      <c r="R72" s="28"/>
      <c r="V72" s="108"/>
      <c r="W72" s="108"/>
      <c r="X72" s="108"/>
      <c r="Y72" s="116"/>
      <c r="Z72" s="116"/>
      <c r="AA72" s="108"/>
      <c r="AB72" s="114"/>
      <c r="AC72" s="108"/>
      <c r="AD72" s="110"/>
    </row>
    <row r="73" spans="3:30" s="27" customFormat="1" ht="10.5" customHeight="1" hidden="1">
      <c r="C73" s="93"/>
      <c r="D73" s="728"/>
      <c r="E73" s="93"/>
      <c r="F73" s="716"/>
      <c r="G73" s="716"/>
      <c r="H73" s="99"/>
      <c r="I73" s="93"/>
      <c r="J73" s="25"/>
      <c r="K73" s="685"/>
      <c r="L73" s="686"/>
      <c r="M73" s="686"/>
      <c r="N73" s="98"/>
      <c r="O73" s="25"/>
      <c r="P73" s="133"/>
      <c r="Q73" s="118"/>
      <c r="R73" s="28"/>
      <c r="V73" s="108"/>
      <c r="W73" s="108"/>
      <c r="X73" s="108"/>
      <c r="Y73" s="116"/>
      <c r="Z73" s="116"/>
      <c r="AA73" s="108"/>
      <c r="AB73" s="114"/>
      <c r="AC73" s="108"/>
      <c r="AD73" s="110"/>
    </row>
    <row r="74" spans="3:30" s="27" customFormat="1" ht="10.5" customHeight="1" hidden="1">
      <c r="C74" s="93"/>
      <c r="D74" s="730"/>
      <c r="E74" s="93"/>
      <c r="F74" s="680" t="str">
        <f>IF(ПодгДТ!$AC$7,ПодгДТ!AC32,IF($D74="","",IF(AND($D74&lt;9,$D74&gt;=1),INDEX(ПодгДТ!$S$25:$S$32,$D74),"Х")))</f>
        <v>КОЗЛОВ</v>
      </c>
      <c r="G74" s="680" t="str">
        <f>IF(ПодгДТ!$AC$7,ПодгДТ!AD32,IF($D74="","",IF(AND($D74&lt;9,$D74&gt;=1),INDEX(ПодгДТ!$O$25:$O$32,$D74),"")))</f>
        <v>Н.Ю.</v>
      </c>
      <c r="H74" s="71"/>
      <c r="I74" s="71"/>
      <c r="J74" s="25"/>
      <c r="K74" s="147"/>
      <c r="L74" s="617"/>
      <c r="M74" s="617"/>
      <c r="N74" s="347"/>
      <c r="O74" s="25"/>
      <c r="P74" s="133"/>
      <c r="Q74" s="118"/>
      <c r="R74" s="28"/>
      <c r="V74" s="108"/>
      <c r="W74" s="108"/>
      <c r="X74" s="108"/>
      <c r="Y74" s="116"/>
      <c r="Z74" s="116"/>
      <c r="AA74" s="108"/>
      <c r="AB74" s="114"/>
      <c r="AC74" s="108"/>
      <c r="AD74" s="110"/>
    </row>
    <row r="75" spans="3:30" s="27" customFormat="1" ht="10.5" customHeight="1" hidden="1">
      <c r="C75" s="93"/>
      <c r="D75" s="731"/>
      <c r="E75" s="93"/>
      <c r="F75" s="682"/>
      <c r="G75" s="682"/>
      <c r="H75" s="71"/>
      <c r="I75" s="71"/>
      <c r="J75" s="34"/>
      <c r="K75" s="97"/>
      <c r="L75" s="717"/>
      <c r="M75" s="717"/>
      <c r="N75" s="347"/>
      <c r="O75" s="25"/>
      <c r="P75" s="133"/>
      <c r="Q75" s="118"/>
      <c r="R75" s="28"/>
      <c r="V75" s="108"/>
      <c r="W75" s="108"/>
      <c r="X75" s="108"/>
      <c r="Y75" s="116"/>
      <c r="Z75" s="116"/>
      <c r="AA75" s="108"/>
      <c r="AB75" s="114"/>
      <c r="AC75" s="108"/>
      <c r="AD75" s="110"/>
    </row>
    <row r="76" spans="3:30" s="27" customFormat="1" ht="10.5" customHeight="1" hidden="1">
      <c r="C76" s="93"/>
      <c r="D76" s="728"/>
      <c r="E76" s="93"/>
      <c r="F76" s="704"/>
      <c r="G76" s="705"/>
      <c r="H76" s="683" t="str">
        <f>IF(H78=0,CONCATENATE("поб.",F74,"/",F78),IF(H78=1,F74,IF(H78=2,F78,"Х")))</f>
        <v>поб.КОЗЛОВ/ШАЙХУТДИНОВ</v>
      </c>
      <c r="I76" s="684"/>
      <c r="J76" s="684"/>
      <c r="K76" s="95"/>
      <c r="L76" s="25"/>
      <c r="M76" s="34"/>
      <c r="N76" s="343"/>
      <c r="O76" s="25"/>
      <c r="P76" s="133"/>
      <c r="Q76" s="118"/>
      <c r="R76" s="28"/>
      <c r="V76" s="108"/>
      <c r="W76" s="108"/>
      <c r="X76" s="108"/>
      <c r="Y76" s="116"/>
      <c r="Z76" s="116"/>
      <c r="AA76" s="108"/>
      <c r="AB76" s="114"/>
      <c r="AC76" s="108"/>
      <c r="AD76" s="110"/>
    </row>
    <row r="77" spans="3:30" s="27" customFormat="1" ht="10.5" customHeight="1" hidden="1">
      <c r="C77" s="93"/>
      <c r="D77" s="728"/>
      <c r="E77" s="93"/>
      <c r="F77" s="716"/>
      <c r="G77" s="707"/>
      <c r="H77" s="685"/>
      <c r="I77" s="686"/>
      <c r="J77" s="686"/>
      <c r="K77" s="95"/>
      <c r="L77" s="25"/>
      <c r="M77" s="34"/>
      <c r="N77" s="343"/>
      <c r="O77" s="25"/>
      <c r="P77" s="133"/>
      <c r="R77" s="103"/>
      <c r="V77" s="108"/>
      <c r="W77" s="108"/>
      <c r="X77" s="108"/>
      <c r="Y77" s="108"/>
      <c r="Z77" s="109"/>
      <c r="AA77" s="108"/>
      <c r="AB77" s="114"/>
      <c r="AC77" s="109"/>
      <c r="AD77" s="110"/>
    </row>
    <row r="78" spans="3:30" s="27" customFormat="1" ht="10.5" customHeight="1" hidden="1">
      <c r="C78" s="93"/>
      <c r="D78" s="713"/>
      <c r="E78" s="93"/>
      <c r="F78" s="680" t="str">
        <f>IF(ПодгДТ!$AC$7,ПодгДТ!AC36,IF($D78="","",IF(AND($D78&lt;9,$D78&gt;=1),INDEX(ПодгДТ!$S$25:$S$32,$D78),"Х")))</f>
        <v>ШАЙХУТДИНОВ</v>
      </c>
      <c r="G78" s="721" t="str">
        <f>IF(ПодгДТ!$AC$7,ПодгДТ!AD36,IF($D78="","",IF(AND($D78&lt;9,$D78&gt;=1),INDEX(ПодгДТ!$O$25:$O$32,$D78),"")))</f>
        <v>В.А.</v>
      </c>
      <c r="H78" s="152"/>
      <c r="I78" s="689"/>
      <c r="J78" s="689"/>
      <c r="K78" s="128"/>
      <c r="L78" s="25"/>
      <c r="M78" s="25"/>
      <c r="N78" s="153"/>
      <c r="O78" s="25"/>
      <c r="P78" s="25"/>
      <c r="R78" s="114"/>
      <c r="V78" s="108"/>
      <c r="W78" s="108"/>
      <c r="X78" s="109"/>
      <c r="Y78" s="108"/>
      <c r="Z78" s="109"/>
      <c r="AA78" s="108"/>
      <c r="AB78" s="114"/>
      <c r="AC78" s="109"/>
      <c r="AD78" s="110"/>
    </row>
    <row r="79" spans="3:30" s="27" customFormat="1" ht="10.5" customHeight="1" hidden="1">
      <c r="C79" s="35"/>
      <c r="D79" s="714"/>
      <c r="E79" s="35"/>
      <c r="F79" s="720"/>
      <c r="G79" s="722"/>
      <c r="H79" s="341"/>
      <c r="I79" s="690"/>
      <c r="J79" s="690"/>
      <c r="K79" s="128"/>
      <c r="L79" s="25"/>
      <c r="M79" s="34"/>
      <c r="N79" s="343"/>
      <c r="O79" s="25"/>
      <c r="P79" s="34"/>
      <c r="R79" s="117"/>
      <c r="V79" s="108"/>
      <c r="W79" s="108"/>
      <c r="X79" s="108"/>
      <c r="Y79" s="108"/>
      <c r="Z79" s="108"/>
      <c r="AA79" s="108"/>
      <c r="AB79" s="114"/>
      <c r="AC79" s="109"/>
      <c r="AD79" s="110"/>
    </row>
    <row r="80" spans="3:30" s="27" customFormat="1" ht="10.5" customHeight="1" hidden="1">
      <c r="C80" s="35"/>
      <c r="D80" s="735"/>
      <c r="E80" s="35"/>
      <c r="F80" s="709"/>
      <c r="G80" s="709"/>
      <c r="H80" s="93"/>
      <c r="I80" s="93"/>
      <c r="J80" s="33"/>
      <c r="K80" s="33"/>
      <c r="L80" s="33"/>
      <c r="M80" s="33"/>
      <c r="N80" s="348"/>
      <c r="O80" s="33"/>
      <c r="P80" s="33"/>
      <c r="R80" s="117"/>
      <c r="S80" s="28"/>
      <c r="T80" s="28"/>
      <c r="V80" s="108"/>
      <c r="W80" s="108"/>
      <c r="X80" s="108"/>
      <c r="Y80" s="108"/>
      <c r="Z80" s="109"/>
      <c r="AA80" s="108"/>
      <c r="AB80" s="114"/>
      <c r="AC80" s="109"/>
      <c r="AD80" s="114"/>
    </row>
    <row r="81" spans="3:30" s="27" customFormat="1" ht="9" customHeight="1">
      <c r="C81" s="33"/>
      <c r="D81" s="736"/>
      <c r="E81" s="33"/>
      <c r="F81" s="733"/>
      <c r="G81" s="733"/>
      <c r="H81" s="93"/>
      <c r="I81" s="93"/>
      <c r="N81" s="349"/>
      <c r="R81" s="117"/>
      <c r="S81" s="28"/>
      <c r="T81" s="28"/>
      <c r="V81" s="108"/>
      <c r="W81" s="108"/>
      <c r="X81" s="108"/>
      <c r="Y81" s="108"/>
      <c r="Z81" s="108"/>
      <c r="AA81" s="108"/>
      <c r="AB81" s="108"/>
      <c r="AC81" s="108"/>
      <c r="AD81" s="109"/>
    </row>
    <row r="82" spans="3:30" s="27" customFormat="1" ht="9" customHeight="1">
      <c r="C82" s="33"/>
      <c r="D82" s="404"/>
      <c r="E82" s="33"/>
      <c r="F82" s="93"/>
      <c r="G82" s="93"/>
      <c r="H82" s="93"/>
      <c r="I82" s="93"/>
      <c r="N82" s="349"/>
      <c r="R82" s="117"/>
      <c r="S82" s="28"/>
      <c r="T82" s="28"/>
      <c r="V82" s="108"/>
      <c r="W82" s="108"/>
      <c r="X82" s="108"/>
      <c r="Y82" s="108"/>
      <c r="Z82" s="108"/>
      <c r="AA82" s="108"/>
      <c r="AB82" s="108"/>
      <c r="AC82" s="108"/>
      <c r="AD82" s="109"/>
    </row>
    <row r="83" spans="3:30" ht="9" customHeight="1" hidden="1">
      <c r="C83" s="734" t="str">
        <f>CONCATENATE("Для проигравших в",ПодгДТ!F52," финала")</f>
        <v>Для проигравших в финала</v>
      </c>
      <c r="D83" s="734"/>
      <c r="E83" s="734"/>
      <c r="F83" s="734"/>
      <c r="G83" s="734"/>
      <c r="H83" s="734"/>
      <c r="I83" s="734"/>
      <c r="J83" s="734"/>
      <c r="K83" s="734"/>
      <c r="L83" s="734"/>
      <c r="M83" s="734"/>
      <c r="N83" s="734"/>
      <c r="O83" s="734"/>
      <c r="P83" s="734"/>
      <c r="Q83" s="734"/>
      <c r="R83" s="734"/>
      <c r="V83" s="108"/>
      <c r="W83" s="108"/>
      <c r="X83" s="108"/>
      <c r="Y83" s="108"/>
      <c r="Z83" s="109"/>
      <c r="AA83" s="108"/>
      <c r="AB83" s="109"/>
      <c r="AC83" s="108"/>
      <c r="AD83" s="109"/>
    </row>
    <row r="84" spans="3:30" s="27" customFormat="1" ht="9" customHeight="1" hidden="1">
      <c r="C84" s="734"/>
      <c r="D84" s="734"/>
      <c r="E84" s="734"/>
      <c r="F84" s="734"/>
      <c r="G84" s="734"/>
      <c r="H84" s="734"/>
      <c r="I84" s="734"/>
      <c r="J84" s="734"/>
      <c r="K84" s="734"/>
      <c r="L84" s="734"/>
      <c r="M84" s="734"/>
      <c r="N84" s="734"/>
      <c r="O84" s="734"/>
      <c r="P84" s="734"/>
      <c r="Q84" s="734"/>
      <c r="R84" s="734"/>
      <c r="V84" s="108"/>
      <c r="W84" s="108"/>
      <c r="X84" s="109"/>
      <c r="Y84" s="108"/>
      <c r="Z84" s="109"/>
      <c r="AA84" s="108"/>
      <c r="AB84" s="108"/>
      <c r="AC84" s="108"/>
      <c r="AD84" s="109"/>
    </row>
    <row r="85" spans="3:30" s="27" customFormat="1" ht="9" customHeight="1" hidden="1">
      <c r="C85" s="33"/>
      <c r="D85" s="33"/>
      <c r="E85" s="33"/>
      <c r="F85" s="33"/>
      <c r="G85" s="713"/>
      <c r="I85" s="680" t="str">
        <f>IF(ПодгДТ!$AE$7,ПодгДТ!AE8,IF($G85="","",IF(AND($G85&lt;5,$G85&gt;=1),INDEX(ПодгДТ!$S$34:$S$37,$G85),"Х")))</f>
        <v>АНТИПОВ</v>
      </c>
      <c r="J85" s="675" t="str">
        <f>IF(ПодгДТ!$AE$7,ПодгДТ!AF8,IF($G85="","",IF(AND($G85&lt;5,$G85&gt;=1),INDEX(ПодгДТ!$O$34:$O$37,$G85),"")))</f>
        <v>И.П.</v>
      </c>
      <c r="K85" s="94"/>
      <c r="L85" s="25"/>
      <c r="M85" s="25"/>
      <c r="N85" s="153"/>
      <c r="O85" s="25"/>
      <c r="P85" s="33"/>
      <c r="R85" s="114"/>
      <c r="V85" s="116"/>
      <c r="W85" s="108"/>
      <c r="X85" s="109"/>
      <c r="Y85" s="108"/>
      <c r="Z85" s="109"/>
      <c r="AA85" s="108"/>
      <c r="AB85" s="108"/>
      <c r="AC85" s="108"/>
      <c r="AD85" s="109"/>
    </row>
    <row r="86" spans="3:30" s="27" customFormat="1" ht="9" customHeight="1" hidden="1">
      <c r="C86" s="33"/>
      <c r="D86" s="33"/>
      <c r="E86" s="33"/>
      <c r="F86" s="33"/>
      <c r="G86" s="714"/>
      <c r="I86" s="682"/>
      <c r="J86" s="586"/>
      <c r="K86" s="94"/>
      <c r="L86" s="34"/>
      <c r="M86" s="25"/>
      <c r="N86" s="153"/>
      <c r="O86" s="25"/>
      <c r="P86" s="33"/>
      <c r="R86" s="114"/>
      <c r="V86" s="116"/>
      <c r="W86" s="108"/>
      <c r="X86" s="109"/>
      <c r="Y86" s="108"/>
      <c r="Z86" s="109"/>
      <c r="AA86" s="108"/>
      <c r="AB86" s="108"/>
      <c r="AC86" s="108"/>
      <c r="AD86" s="109"/>
    </row>
    <row r="87" spans="3:30" s="27" customFormat="1" ht="9" customHeight="1" hidden="1">
      <c r="C87" s="33"/>
      <c r="D87" s="33"/>
      <c r="E87" s="33"/>
      <c r="F87" s="33"/>
      <c r="G87" s="728"/>
      <c r="I87" s="704"/>
      <c r="J87" s="705"/>
      <c r="K87" s="683" t="str">
        <f>IF(K89=0,CONCATENATE("поб.",I85,"/",I89),IF(K89=1,I85,IF(K89=2,I89,"Х")))</f>
        <v>поб.АНТИПОВ/СЕГУРА-ОНИЩЕНКО</v>
      </c>
      <c r="L87" s="684"/>
      <c r="M87" s="684"/>
      <c r="N87" s="94"/>
      <c r="O87" s="34"/>
      <c r="P87" s="33"/>
      <c r="R87" s="114"/>
      <c r="V87" s="116"/>
      <c r="W87" s="108"/>
      <c r="X87" s="109"/>
      <c r="Y87" s="108"/>
      <c r="Z87" s="109"/>
      <c r="AA87" s="108"/>
      <c r="AB87" s="108"/>
      <c r="AC87" s="108"/>
      <c r="AD87" s="109"/>
    </row>
    <row r="88" spans="3:30" s="27" customFormat="1" ht="9" customHeight="1" hidden="1">
      <c r="C88" s="33"/>
      <c r="D88" s="33"/>
      <c r="E88" s="33"/>
      <c r="F88" s="33"/>
      <c r="G88" s="728"/>
      <c r="I88" s="706"/>
      <c r="J88" s="707"/>
      <c r="K88" s="685"/>
      <c r="L88" s="686"/>
      <c r="M88" s="686"/>
      <c r="N88" s="94"/>
      <c r="O88" s="34"/>
      <c r="P88" s="33"/>
      <c r="R88" s="114"/>
      <c r="V88" s="116"/>
      <c r="W88" s="108"/>
      <c r="X88" s="109"/>
      <c r="Y88" s="108"/>
      <c r="Z88" s="109"/>
      <c r="AA88" s="108"/>
      <c r="AB88" s="108"/>
      <c r="AC88" s="108"/>
      <c r="AD88" s="109"/>
    </row>
    <row r="89" spans="3:30" s="27" customFormat="1" ht="9" customHeight="1" hidden="1">
      <c r="C89" s="33"/>
      <c r="D89" s="33"/>
      <c r="E89" s="33"/>
      <c r="F89" s="33"/>
      <c r="G89" s="730"/>
      <c r="I89" s="680" t="str">
        <f>IF(ПодгДТ!$AE$7,ПодгДТ!AE12,IF($G89="","",IF(AND($G89&lt;5,$G89&gt;=1),INDEX(ПодгДТ!$S$34:$S$37,$G89),"Х")))</f>
        <v>СЕГУРА-ОНИЩЕНКО</v>
      </c>
      <c r="J89" s="711" t="str">
        <f>IF(ПодгДТ!$AE$7,ПодгДТ!AF12,IF($G89="","",IF(AND($G89&lt;5,$G89&gt;=1),INDEX(ПодгДТ!$O$34:$O$37,$G89),"")))</f>
        <v>А.</v>
      </c>
      <c r="K89" s="146"/>
      <c r="L89" s="617"/>
      <c r="M89" s="617"/>
      <c r="N89" s="345"/>
      <c r="O89" s="34"/>
      <c r="P89" s="33"/>
      <c r="R89" s="114"/>
      <c r="V89" s="116"/>
      <c r="W89" s="108"/>
      <c r="X89" s="109"/>
      <c r="Y89" s="108"/>
      <c r="Z89" s="109"/>
      <c r="AA89" s="108"/>
      <c r="AB89" s="108"/>
      <c r="AC89" s="108"/>
      <c r="AD89" s="109"/>
    </row>
    <row r="90" spans="3:30" s="27" customFormat="1" ht="9" customHeight="1" hidden="1">
      <c r="C90" s="33"/>
      <c r="D90" s="33"/>
      <c r="E90" s="33"/>
      <c r="F90" s="33"/>
      <c r="G90" s="731"/>
      <c r="I90" s="682"/>
      <c r="J90" s="679"/>
      <c r="K90" s="95"/>
      <c r="L90" s="717"/>
      <c r="M90" s="717"/>
      <c r="N90" s="345"/>
      <c r="O90" s="25"/>
      <c r="P90" s="33"/>
      <c r="R90" s="114"/>
      <c r="V90" s="116"/>
      <c r="W90" s="108"/>
      <c r="X90" s="109"/>
      <c r="Y90" s="108"/>
      <c r="Z90" s="109"/>
      <c r="AA90" s="108"/>
      <c r="AB90" s="108"/>
      <c r="AC90" s="108"/>
      <c r="AD90" s="109"/>
    </row>
    <row r="91" spans="3:30" s="27" customFormat="1" ht="9" customHeight="1" hidden="1">
      <c r="C91" s="33"/>
      <c r="D91" s="33"/>
      <c r="E91" s="33"/>
      <c r="F91" s="33"/>
      <c r="G91" s="728"/>
      <c r="I91" s="704"/>
      <c r="J91" s="704"/>
      <c r="K91" s="99"/>
      <c r="L91" s="34"/>
      <c r="M91" s="25"/>
      <c r="N91" s="683" t="str">
        <f>IF(N93=0,CONCATENATE("поб.",K87,"/",K95),IF(N93=1,K87,IF(N93=2,K95,"Х")))</f>
        <v>поб.поб.АНТИПОВ/СЕГУРА-ОНИЩЕНКО/поб.ФАДЕЕВ/ПАДЕРИН</v>
      </c>
      <c r="O91" s="684"/>
      <c r="P91" s="684"/>
      <c r="R91" s="114"/>
      <c r="V91" s="116"/>
      <c r="W91" s="108"/>
      <c r="X91" s="109"/>
      <c r="Y91" s="108"/>
      <c r="Z91" s="109"/>
      <c r="AA91" s="108"/>
      <c r="AB91" s="108"/>
      <c r="AC91" s="108"/>
      <c r="AD91" s="109"/>
    </row>
    <row r="92" spans="3:30" s="27" customFormat="1" ht="9" customHeight="1" hidden="1">
      <c r="C92" s="33"/>
      <c r="D92" s="33"/>
      <c r="E92" s="33"/>
      <c r="F92" s="33"/>
      <c r="G92" s="728"/>
      <c r="I92" s="706"/>
      <c r="J92" s="706"/>
      <c r="K92" s="350"/>
      <c r="L92" s="25"/>
      <c r="M92" s="35"/>
      <c r="N92" s="685"/>
      <c r="O92" s="686"/>
      <c r="P92" s="686"/>
      <c r="R92" s="114"/>
      <c r="V92" s="116"/>
      <c r="W92" s="108"/>
      <c r="X92" s="109"/>
      <c r="Y92" s="108"/>
      <c r="Z92" s="109"/>
      <c r="AA92" s="108"/>
      <c r="AB92" s="108"/>
      <c r="AC92" s="108"/>
      <c r="AD92" s="109"/>
    </row>
    <row r="93" spans="3:30" s="27" customFormat="1" ht="9" customHeight="1" hidden="1">
      <c r="C93" s="33"/>
      <c r="D93" s="33"/>
      <c r="E93" s="33"/>
      <c r="F93" s="33"/>
      <c r="G93" s="730"/>
      <c r="I93" s="680" t="str">
        <f>IF(ПодгДТ!$AE$7,ПодгДТ!AE16,IF($G93="","",IF(AND($G93&lt;5,$G93&gt;=1),INDEX(ПодгДТ!$S$34:$S$37,$G93),"Х")))</f>
        <v>ФАДЕЕВ</v>
      </c>
      <c r="J93" s="675" t="str">
        <f>IF(ПодгДТ!$AE$7,ПодгДТ!AF16,IF($G93="","",IF(AND($G93&lt;5,$G93&gt;=1),INDEX(ПодгДТ!$O$34:$O$37,$G93),"")))</f>
        <v>П.Е.</v>
      </c>
      <c r="K93" s="94"/>
      <c r="L93" s="25"/>
      <c r="M93" s="25"/>
      <c r="N93" s="147"/>
      <c r="O93" s="617"/>
      <c r="P93" s="617"/>
      <c r="R93" s="114"/>
      <c r="V93" s="116"/>
      <c r="W93" s="108"/>
      <c r="X93" s="109"/>
      <c r="Y93" s="108"/>
      <c r="Z93" s="109"/>
      <c r="AA93" s="108"/>
      <c r="AB93" s="108"/>
      <c r="AC93" s="108"/>
      <c r="AD93" s="109"/>
    </row>
    <row r="94" spans="3:30" s="27" customFormat="1" ht="9" customHeight="1" hidden="1">
      <c r="C94" s="33"/>
      <c r="D94" s="33"/>
      <c r="E94" s="33"/>
      <c r="F94" s="33"/>
      <c r="G94" s="731"/>
      <c r="I94" s="682"/>
      <c r="J94" s="586"/>
      <c r="K94" s="94"/>
      <c r="L94" s="34"/>
      <c r="M94" s="25"/>
      <c r="N94" s="132"/>
      <c r="O94" s="717"/>
      <c r="P94" s="717"/>
      <c r="R94" s="114"/>
      <c r="V94" s="116"/>
      <c r="W94" s="108"/>
      <c r="X94" s="109"/>
      <c r="Y94" s="108"/>
      <c r="Z94" s="109"/>
      <c r="AA94" s="108"/>
      <c r="AB94" s="108"/>
      <c r="AC94" s="108"/>
      <c r="AD94" s="109"/>
    </row>
    <row r="95" spans="3:30" s="27" customFormat="1" ht="9" customHeight="1" hidden="1">
      <c r="C95" s="33"/>
      <c r="D95" s="33"/>
      <c r="E95" s="33"/>
      <c r="F95" s="33"/>
      <c r="G95" s="728"/>
      <c r="I95" s="704"/>
      <c r="J95" s="705"/>
      <c r="K95" s="683" t="str">
        <f>IF(K97=0,CONCATENATE("поб.",I93,"/",I97),IF(K97=1,I93,IF(K97=2,I97,"Х")))</f>
        <v>поб.ФАДЕЕВ/ПАДЕРИН</v>
      </c>
      <c r="L95" s="684"/>
      <c r="M95" s="684"/>
      <c r="N95" s="95"/>
      <c r="O95" s="25"/>
      <c r="P95" s="33"/>
      <c r="R95" s="114"/>
      <c r="V95" s="116"/>
      <c r="W95" s="108"/>
      <c r="X95" s="109"/>
      <c r="Y95" s="108"/>
      <c r="Z95" s="109"/>
      <c r="AA95" s="108"/>
      <c r="AB95" s="108"/>
      <c r="AC95" s="108"/>
      <c r="AD95" s="109"/>
    </row>
    <row r="96" spans="3:30" s="27" customFormat="1" ht="9" customHeight="1" hidden="1">
      <c r="C96" s="33"/>
      <c r="D96" s="33"/>
      <c r="E96" s="33"/>
      <c r="F96" s="33"/>
      <c r="G96" s="728"/>
      <c r="I96" s="706"/>
      <c r="J96" s="707"/>
      <c r="K96" s="685"/>
      <c r="L96" s="686"/>
      <c r="M96" s="686"/>
      <c r="N96" s="95"/>
      <c r="O96" s="34"/>
      <c r="P96" s="33"/>
      <c r="R96" s="114"/>
      <c r="V96" s="116"/>
      <c r="W96" s="108"/>
      <c r="X96" s="109"/>
      <c r="Y96" s="108"/>
      <c r="Z96" s="109"/>
      <c r="AA96" s="108"/>
      <c r="AB96" s="108"/>
      <c r="AC96" s="108"/>
      <c r="AD96" s="109"/>
    </row>
    <row r="97" spans="3:30" s="27" customFormat="1" ht="9" customHeight="1" hidden="1">
      <c r="C97" s="33"/>
      <c r="D97" s="33"/>
      <c r="E97" s="33"/>
      <c r="F97" s="33"/>
      <c r="G97" s="713"/>
      <c r="I97" s="680" t="str">
        <f>IF(ПодгДТ!$AE$7,ПодгДТ!AE20,IF($G97="","",IF(AND($G97&lt;5,$G97&gt;=1),INDEX(ПодгДТ!$S$34:$S$37,$G97),"Х")))</f>
        <v>ПАДЕРИН</v>
      </c>
      <c r="J97" s="711" t="str">
        <f>IF(ПодгДТ!$AE$7,ПодгДТ!AF20,IF($G97="","",IF(AND($G97&lt;5,$G97&gt;=1),INDEX(ПодгДТ!$O$34:$O$37,$G97),"")))</f>
        <v>Н.Е.</v>
      </c>
      <c r="K97" s="146"/>
      <c r="L97" s="617"/>
      <c r="M97" s="617"/>
      <c r="N97" s="334"/>
      <c r="O97" s="25"/>
      <c r="P97" s="33"/>
      <c r="R97" s="114"/>
      <c r="V97" s="116"/>
      <c r="W97" s="108"/>
      <c r="X97" s="109"/>
      <c r="Y97" s="108"/>
      <c r="Z97" s="109"/>
      <c r="AA97" s="108"/>
      <c r="AB97" s="108"/>
      <c r="AC97" s="108"/>
      <c r="AD97" s="109"/>
    </row>
    <row r="98" spans="3:30" s="27" customFormat="1" ht="9" customHeight="1" hidden="1">
      <c r="C98" s="33"/>
      <c r="D98" s="33"/>
      <c r="E98" s="33"/>
      <c r="F98" s="33"/>
      <c r="G98" s="714"/>
      <c r="I98" s="682"/>
      <c r="J98" s="679"/>
      <c r="K98" s="95"/>
      <c r="L98" s="717"/>
      <c r="M98" s="717"/>
      <c r="N98" s="334"/>
      <c r="O98" s="34"/>
      <c r="P98" s="33"/>
      <c r="R98" s="114"/>
      <c r="V98" s="116"/>
      <c r="W98" s="108"/>
      <c r="X98" s="109"/>
      <c r="Y98" s="108"/>
      <c r="Z98" s="109"/>
      <c r="AA98" s="108"/>
      <c r="AB98" s="108"/>
      <c r="AC98" s="108"/>
      <c r="AD98" s="109"/>
    </row>
    <row r="99" spans="3:30" s="27" customFormat="1" ht="9" customHeight="1" hidden="1">
      <c r="C99" s="33"/>
      <c r="D99" s="33"/>
      <c r="E99" s="33"/>
      <c r="F99" s="33"/>
      <c r="G99" s="28"/>
      <c r="H99" s="28"/>
      <c r="I99" s="709"/>
      <c r="J99" s="709"/>
      <c r="K99" s="99"/>
      <c r="L99" s="25"/>
      <c r="M99" s="25"/>
      <c r="N99" s="25"/>
      <c r="O99" s="25"/>
      <c r="P99" s="135"/>
      <c r="R99" s="114"/>
      <c r="V99" s="116"/>
      <c r="W99" s="108"/>
      <c r="X99" s="109"/>
      <c r="Y99" s="108"/>
      <c r="Z99" s="109"/>
      <c r="AA99" s="108"/>
      <c r="AB99" s="108"/>
      <c r="AC99" s="108"/>
      <c r="AD99" s="109"/>
    </row>
    <row r="100" spans="3:30" s="27" customFormat="1" ht="9" customHeight="1">
      <c r="C100" s="33"/>
      <c r="D100" s="33"/>
      <c r="E100" s="33"/>
      <c r="F100" s="33"/>
      <c r="G100" s="28"/>
      <c r="H100" s="28"/>
      <c r="I100" s="710"/>
      <c r="J100" s="710"/>
      <c r="K100" s="350"/>
      <c r="L100" s="25"/>
      <c r="M100" s="25"/>
      <c r="N100" s="25"/>
      <c r="O100" s="25"/>
      <c r="P100" s="135"/>
      <c r="R100" s="114"/>
      <c r="V100" s="116"/>
      <c r="W100" s="108"/>
      <c r="X100" s="109"/>
      <c r="Y100" s="108"/>
      <c r="Z100" s="109"/>
      <c r="AA100" s="108"/>
      <c r="AB100" s="108"/>
      <c r="AC100" s="108"/>
      <c r="AD100" s="109"/>
    </row>
    <row r="101" spans="3:18" s="27" customFormat="1" ht="7.5" customHeight="1">
      <c r="C101" s="33"/>
      <c r="D101" s="33"/>
      <c r="E101" s="33"/>
      <c r="F101" s="33"/>
      <c r="G101" s="28"/>
      <c r="H101" s="28"/>
      <c r="I101" s="28"/>
      <c r="J101" s="116"/>
      <c r="K101" s="351"/>
      <c r="L101" s="108"/>
      <c r="M101" s="109"/>
      <c r="N101" s="109"/>
      <c r="O101" s="108"/>
      <c r="P101" s="114"/>
      <c r="R101" s="28"/>
    </row>
    <row r="102" spans="3:15" s="145" customFormat="1" ht="12.75" customHeight="1">
      <c r="C102" s="723" t="s">
        <v>2</v>
      </c>
      <c r="D102" s="723"/>
      <c r="E102" s="723"/>
      <c r="F102" s="144"/>
      <c r="G102" s="715"/>
      <c r="H102" s="715"/>
      <c r="I102" s="715"/>
      <c r="J102" s="586" t="str">
        <f>UPPER(Установка!C11)</f>
        <v>ЗЕЛИНГЕР М.М.</v>
      </c>
      <c r="K102" s="586"/>
      <c r="L102" s="586"/>
      <c r="M102" s="586"/>
      <c r="N102" s="137"/>
      <c r="O102" s="137"/>
    </row>
    <row r="103" spans="3:16" s="120" customFormat="1" ht="13.5" customHeight="1">
      <c r="C103" s="126"/>
      <c r="D103" s="126"/>
      <c r="E103" s="126"/>
      <c r="F103" s="126"/>
      <c r="G103" s="724" t="s">
        <v>42</v>
      </c>
      <c r="H103" s="724"/>
      <c r="I103" s="724"/>
      <c r="J103" s="712" t="s">
        <v>43</v>
      </c>
      <c r="K103" s="712"/>
      <c r="L103" s="712"/>
      <c r="M103" s="712"/>
      <c r="N103" s="121"/>
      <c r="O103" s="122"/>
      <c r="P103" s="123"/>
    </row>
    <row r="104" spans="3:6" s="27" customFormat="1" ht="7.5" customHeight="1">
      <c r="C104" s="33"/>
      <c r="D104" s="33"/>
      <c r="E104" s="33"/>
      <c r="F104" s="33"/>
    </row>
    <row r="105" spans="3:15" s="145" customFormat="1" ht="12.75" customHeight="1">
      <c r="C105" s="723" t="s">
        <v>7</v>
      </c>
      <c r="D105" s="723"/>
      <c r="E105" s="723"/>
      <c r="F105" s="144"/>
      <c r="G105" s="43"/>
      <c r="H105" s="43"/>
      <c r="I105" s="43"/>
      <c r="J105" s="586" t="str">
        <f>UPPER(Установка!C12)</f>
        <v>ГУТОВ К.Г.</v>
      </c>
      <c r="K105" s="586"/>
      <c r="L105" s="586"/>
      <c r="M105" s="586"/>
      <c r="N105" s="137"/>
      <c r="O105" s="137"/>
    </row>
    <row r="106" spans="3:16" s="120" customFormat="1" ht="13.5" customHeight="1">
      <c r="C106" s="126"/>
      <c r="D106" s="126"/>
      <c r="E106" s="126"/>
      <c r="F106" s="126"/>
      <c r="G106" s="708" t="s">
        <v>42</v>
      </c>
      <c r="H106" s="708"/>
      <c r="I106" s="708"/>
      <c r="J106" s="708" t="s">
        <v>43</v>
      </c>
      <c r="K106" s="708"/>
      <c r="L106" s="708"/>
      <c r="M106" s="708"/>
      <c r="N106" s="121"/>
      <c r="O106" s="122"/>
      <c r="P106" s="123"/>
    </row>
    <row r="107" spans="3:16" s="27" customFormat="1" ht="7.5" customHeight="1">
      <c r="C107" s="33"/>
      <c r="D107" s="33"/>
      <c r="E107" s="33"/>
      <c r="F107" s="33"/>
      <c r="G107" s="28"/>
      <c r="H107" s="28"/>
      <c r="I107" s="28"/>
      <c r="J107" s="109"/>
      <c r="K107" s="109"/>
      <c r="L107" s="116"/>
      <c r="M107" s="116"/>
      <c r="N107" s="116"/>
      <c r="O107" s="108"/>
      <c r="P107" s="114"/>
    </row>
    <row r="108" spans="3:16" s="27" customFormat="1" ht="7.5" customHeight="1">
      <c r="C108" s="33"/>
      <c r="D108" s="33"/>
      <c r="E108" s="33"/>
      <c r="F108" s="33"/>
      <c r="G108" s="28"/>
      <c r="H108" s="28"/>
      <c r="I108" s="28"/>
      <c r="J108" s="108"/>
      <c r="K108" s="108"/>
      <c r="L108" s="116"/>
      <c r="M108" s="116"/>
      <c r="N108" s="116"/>
      <c r="O108" s="108"/>
      <c r="P108" s="114"/>
    </row>
    <row r="109" spans="3:17" s="27" customFormat="1" ht="7.5" customHeight="1">
      <c r="C109" s="33"/>
      <c r="D109" s="33"/>
      <c r="E109" s="33"/>
      <c r="F109" s="33"/>
      <c r="G109" s="28"/>
      <c r="H109" s="28"/>
      <c r="I109" s="28"/>
      <c r="J109" s="108"/>
      <c r="K109" s="108"/>
      <c r="L109" s="108"/>
      <c r="M109" s="109"/>
      <c r="N109" s="109"/>
      <c r="O109" s="108"/>
      <c r="P109" s="114"/>
      <c r="Q109" s="103"/>
    </row>
    <row r="110" spans="3:17" s="27" customFormat="1" ht="7.5" customHeight="1">
      <c r="C110" s="33"/>
      <c r="D110" s="33"/>
      <c r="E110" s="33"/>
      <c r="F110" s="33"/>
      <c r="G110" s="28"/>
      <c r="H110" s="28"/>
      <c r="I110" s="28"/>
      <c r="J110" s="109"/>
      <c r="K110" s="109"/>
      <c r="L110" s="108"/>
      <c r="M110" s="109"/>
      <c r="N110" s="109"/>
      <c r="O110" s="108"/>
      <c r="P110" s="114"/>
      <c r="Q110" s="114"/>
    </row>
    <row r="111" spans="3:17" s="27" customFormat="1" ht="7.5" customHeight="1">
      <c r="C111" s="33"/>
      <c r="D111" s="33"/>
      <c r="E111" s="33"/>
      <c r="F111" s="33"/>
      <c r="G111" s="28"/>
      <c r="H111" s="28"/>
      <c r="I111" s="28"/>
      <c r="J111" s="116"/>
      <c r="K111" s="116"/>
      <c r="L111" s="108"/>
      <c r="M111" s="108"/>
      <c r="N111" s="108"/>
      <c r="O111" s="108"/>
      <c r="P111" s="114"/>
      <c r="Q111" s="117"/>
    </row>
    <row r="112" spans="3:17" s="27" customFormat="1" ht="7.5" customHeight="1">
      <c r="C112" s="33"/>
      <c r="D112" s="33"/>
      <c r="E112" s="33"/>
      <c r="F112" s="33"/>
      <c r="G112" s="28"/>
      <c r="H112" s="28"/>
      <c r="I112" s="28"/>
      <c r="J112" s="116"/>
      <c r="K112" s="116"/>
      <c r="L112" s="108"/>
      <c r="M112" s="109"/>
      <c r="N112" s="109"/>
      <c r="O112" s="108"/>
      <c r="P112" s="114"/>
      <c r="Q112" s="117"/>
    </row>
    <row r="113" spans="3:17" s="27" customFormat="1" ht="11.25" customHeight="1">
      <c r="C113" s="33"/>
      <c r="D113" s="33"/>
      <c r="E113" s="33"/>
      <c r="F113" s="33"/>
      <c r="J113" s="114"/>
      <c r="K113" s="114"/>
      <c r="L113" s="114"/>
      <c r="M113" s="114"/>
      <c r="N113" s="114"/>
      <c r="O113" s="114"/>
      <c r="P113" s="114"/>
      <c r="Q113" s="114"/>
    </row>
    <row r="114" spans="3:17" s="27" customFormat="1" ht="11.25" customHeight="1">
      <c r="C114" s="33"/>
      <c r="D114" s="33"/>
      <c r="E114" s="33"/>
      <c r="F114" s="33"/>
      <c r="J114" s="124"/>
      <c r="K114" s="124"/>
      <c r="L114" s="124"/>
      <c r="M114" s="117"/>
      <c r="N114" s="117"/>
      <c r="O114" s="117"/>
      <c r="P114" s="114"/>
      <c r="Q114" s="114"/>
    </row>
    <row r="115" spans="3:17" s="27" customFormat="1" ht="11.25" customHeight="1">
      <c r="C115" s="33"/>
      <c r="D115" s="33"/>
      <c r="E115" s="33"/>
      <c r="F115" s="33"/>
      <c r="J115" s="114"/>
      <c r="K115" s="114"/>
      <c r="L115" s="114"/>
      <c r="M115" s="114"/>
      <c r="N115" s="114"/>
      <c r="O115" s="114"/>
      <c r="P115" s="117"/>
      <c r="Q115" s="117"/>
    </row>
    <row r="116" spans="3:6" s="27" customFormat="1" ht="11.25" customHeight="1">
      <c r="C116" s="33"/>
      <c r="D116" s="33"/>
      <c r="E116" s="33"/>
      <c r="F116" s="33"/>
    </row>
    <row r="117" spans="3:17" s="27" customFormat="1" ht="11.25" customHeight="1">
      <c r="C117" s="33"/>
      <c r="D117" s="33"/>
      <c r="E117" s="33"/>
      <c r="F117" s="33"/>
      <c r="J117" s="28"/>
      <c r="K117" s="28"/>
      <c r="L117" s="28"/>
      <c r="M117" s="28"/>
      <c r="N117" s="28"/>
      <c r="O117" s="28"/>
      <c r="P117" s="28"/>
      <c r="Q117" s="28"/>
    </row>
    <row r="118" spans="3:11" s="27" customFormat="1" ht="11.25" customHeight="1">
      <c r="C118" s="33"/>
      <c r="D118" s="33"/>
      <c r="E118" s="33"/>
      <c r="F118" s="33"/>
      <c r="J118" s="28"/>
      <c r="K118" s="28"/>
    </row>
    <row r="119" spans="3:11" s="27" customFormat="1" ht="11.25" customHeight="1">
      <c r="C119" s="33"/>
      <c r="D119" s="33"/>
      <c r="E119" s="33"/>
      <c r="F119" s="33"/>
      <c r="J119" s="28"/>
      <c r="K119" s="28"/>
    </row>
    <row r="120" spans="3:11" s="27" customFormat="1" ht="11.25" customHeight="1">
      <c r="C120" s="33"/>
      <c r="D120" s="33"/>
      <c r="E120" s="33"/>
      <c r="F120" s="33"/>
      <c r="J120" s="28"/>
      <c r="K120" s="28"/>
    </row>
    <row r="121" spans="1:6" s="27" customFormat="1" ht="11.25" customHeight="1" hidden="1">
      <c r="A121" s="414" t="b">
        <v>1</v>
      </c>
      <c r="C121" s="33"/>
      <c r="D121" s="33"/>
      <c r="E121" s="33"/>
      <c r="F121" s="33"/>
    </row>
    <row r="122" spans="3:11" s="27" customFormat="1" ht="11.25" customHeight="1">
      <c r="C122" s="33"/>
      <c r="D122" s="33"/>
      <c r="E122" s="33"/>
      <c r="F122" s="33"/>
      <c r="J122" s="28"/>
      <c r="K122" s="28"/>
    </row>
    <row r="123" spans="3:11" s="27" customFormat="1" ht="11.25" customHeight="1">
      <c r="C123" s="33"/>
      <c r="D123" s="33"/>
      <c r="E123" s="33"/>
      <c r="F123" s="33"/>
      <c r="J123" s="28"/>
      <c r="K123" s="28"/>
    </row>
    <row r="124" spans="3:11" s="27" customFormat="1" ht="11.25" customHeight="1">
      <c r="C124" s="33"/>
      <c r="D124" s="33"/>
      <c r="E124" s="33"/>
      <c r="F124" s="33"/>
      <c r="J124" s="28"/>
      <c r="K124" s="28"/>
    </row>
    <row r="125" spans="3:11" s="27" customFormat="1" ht="11.25" customHeight="1">
      <c r="C125" s="33"/>
      <c r="D125" s="33"/>
      <c r="E125" s="33"/>
      <c r="F125" s="33"/>
      <c r="J125" s="28"/>
      <c r="K125" s="28"/>
    </row>
    <row r="126" spans="3:11" s="27" customFormat="1" ht="11.25" customHeight="1">
      <c r="C126" s="33"/>
      <c r="D126" s="33"/>
      <c r="E126" s="33"/>
      <c r="F126" s="33"/>
      <c r="J126" s="28"/>
      <c r="K126" s="28"/>
    </row>
    <row r="127" spans="3:11" s="27" customFormat="1" ht="11.25" customHeight="1">
      <c r="C127" s="33"/>
      <c r="D127" s="33"/>
      <c r="E127" s="33"/>
      <c r="F127" s="33"/>
      <c r="J127" s="28"/>
      <c r="K127" s="28"/>
    </row>
    <row r="128" spans="3:11" s="27" customFormat="1" ht="11.25" customHeight="1">
      <c r="C128" s="33"/>
      <c r="D128" s="33"/>
      <c r="E128" s="33"/>
      <c r="F128" s="33"/>
      <c r="J128" s="28"/>
      <c r="K128" s="28"/>
    </row>
    <row r="129" spans="3:11" s="27" customFormat="1" ht="11.25" customHeight="1">
      <c r="C129" s="33"/>
      <c r="D129" s="33"/>
      <c r="E129" s="33"/>
      <c r="F129" s="33"/>
      <c r="J129" s="28"/>
      <c r="K129" s="28"/>
    </row>
    <row r="130" spans="3:11" s="27" customFormat="1" ht="11.25" customHeight="1">
      <c r="C130" s="33"/>
      <c r="D130" s="33"/>
      <c r="E130" s="33"/>
      <c r="F130" s="33"/>
      <c r="J130" s="28"/>
      <c r="K130" s="28"/>
    </row>
    <row r="131" spans="3:11" s="27" customFormat="1" ht="11.25" customHeight="1">
      <c r="C131" s="33"/>
      <c r="D131" s="33"/>
      <c r="E131" s="33"/>
      <c r="F131" s="33"/>
      <c r="J131" s="28"/>
      <c r="K131" s="28"/>
    </row>
    <row r="132" spans="3:11" s="27" customFormat="1" ht="11.25" customHeight="1">
      <c r="C132" s="33"/>
      <c r="D132" s="33"/>
      <c r="E132" s="33"/>
      <c r="F132" s="33"/>
      <c r="J132" s="28"/>
      <c r="K132" s="28"/>
    </row>
    <row r="133" spans="3:11" s="27" customFormat="1" ht="11.25" customHeight="1">
      <c r="C133" s="33"/>
      <c r="D133" s="33"/>
      <c r="E133" s="33"/>
      <c r="F133" s="33"/>
      <c r="J133" s="28"/>
      <c r="K133" s="28"/>
    </row>
    <row r="134" spans="3:11" s="27" customFormat="1" ht="11.25" customHeight="1">
      <c r="C134" s="33"/>
      <c r="D134" s="33"/>
      <c r="E134" s="33"/>
      <c r="F134" s="33"/>
      <c r="J134" s="28"/>
      <c r="K134" s="28"/>
    </row>
    <row r="135" spans="3:11" s="27" customFormat="1" ht="11.25" customHeight="1">
      <c r="C135" s="33"/>
      <c r="D135" s="33"/>
      <c r="E135" s="33"/>
      <c r="F135" s="33"/>
      <c r="J135" s="28"/>
      <c r="K135" s="28"/>
    </row>
    <row r="136" spans="3:11" s="27" customFormat="1" ht="11.25" customHeight="1">
      <c r="C136" s="33"/>
      <c r="D136" s="33"/>
      <c r="E136" s="33"/>
      <c r="F136" s="33"/>
      <c r="J136" s="28"/>
      <c r="K136" s="28"/>
    </row>
    <row r="137" spans="3:11" s="27" customFormat="1" ht="11.25" customHeight="1">
      <c r="C137" s="33"/>
      <c r="D137" s="33"/>
      <c r="E137" s="33"/>
      <c r="F137" s="33"/>
      <c r="J137" s="28"/>
      <c r="K137" s="28"/>
    </row>
    <row r="138" spans="3:11" s="27" customFormat="1" ht="11.25" customHeight="1">
      <c r="C138" s="33"/>
      <c r="D138" s="33"/>
      <c r="E138" s="33"/>
      <c r="F138" s="33"/>
      <c r="J138" s="28"/>
      <c r="K138" s="28"/>
    </row>
    <row r="139" spans="3:11" s="27" customFormat="1" ht="11.25" customHeight="1">
      <c r="C139" s="33"/>
      <c r="D139" s="33"/>
      <c r="E139" s="33"/>
      <c r="F139" s="33"/>
      <c r="J139" s="28"/>
      <c r="K139" s="28"/>
    </row>
    <row r="140" spans="3:11" s="27" customFormat="1" ht="11.25" customHeight="1">
      <c r="C140" s="33"/>
      <c r="D140" s="33"/>
      <c r="E140" s="33"/>
      <c r="F140" s="33"/>
      <c r="J140" s="28"/>
      <c r="K140" s="28"/>
    </row>
    <row r="141" spans="3:11" s="27" customFormat="1" ht="11.25" customHeight="1">
      <c r="C141" s="33"/>
      <c r="D141" s="33"/>
      <c r="E141" s="33"/>
      <c r="F141" s="33"/>
      <c r="J141" s="28"/>
      <c r="K141" s="28"/>
    </row>
    <row r="142" spans="3:11" s="27" customFormat="1" ht="11.25" customHeight="1">
      <c r="C142" s="33"/>
      <c r="D142" s="33"/>
      <c r="E142" s="33"/>
      <c r="F142" s="33"/>
      <c r="J142" s="28"/>
      <c r="K142" s="28"/>
    </row>
    <row r="143" spans="3:11" s="27" customFormat="1" ht="11.25" customHeight="1">
      <c r="C143" s="33"/>
      <c r="D143" s="33"/>
      <c r="E143" s="33"/>
      <c r="F143" s="33"/>
      <c r="J143" s="28"/>
      <c r="K143" s="28"/>
    </row>
    <row r="144" spans="3:11" s="27" customFormat="1" ht="11.25" customHeight="1">
      <c r="C144" s="33"/>
      <c r="D144" s="33"/>
      <c r="E144" s="33"/>
      <c r="F144" s="33"/>
      <c r="J144" s="28"/>
      <c r="K144" s="28"/>
    </row>
    <row r="145" spans="3:11" s="27" customFormat="1" ht="11.25" customHeight="1">
      <c r="C145" s="33"/>
      <c r="D145" s="33"/>
      <c r="E145" s="33"/>
      <c r="F145" s="33"/>
      <c r="J145" s="28"/>
      <c r="K145" s="28"/>
    </row>
    <row r="146" spans="3:11" s="27" customFormat="1" ht="11.25" customHeight="1">
      <c r="C146" s="33"/>
      <c r="D146" s="33"/>
      <c r="E146" s="33"/>
      <c r="F146" s="33"/>
      <c r="J146" s="28"/>
      <c r="K146" s="28"/>
    </row>
    <row r="147" spans="3:11" s="27" customFormat="1" ht="11.25" customHeight="1">
      <c r="C147" s="33"/>
      <c r="D147" s="33"/>
      <c r="E147" s="33"/>
      <c r="F147" s="33"/>
      <c r="J147" s="28"/>
      <c r="K147" s="28"/>
    </row>
    <row r="148" spans="3:11" s="27" customFormat="1" ht="11.25" customHeight="1">
      <c r="C148" s="33"/>
      <c r="D148" s="33"/>
      <c r="E148" s="33"/>
      <c r="F148" s="33"/>
      <c r="J148" s="28"/>
      <c r="K148" s="28"/>
    </row>
    <row r="149" spans="3:11" s="27" customFormat="1" ht="11.25" customHeight="1">
      <c r="C149" s="33"/>
      <c r="D149" s="33"/>
      <c r="E149" s="33"/>
      <c r="F149" s="33"/>
      <c r="J149" s="28"/>
      <c r="K149" s="28"/>
    </row>
    <row r="150" spans="3:11" s="27" customFormat="1" ht="11.25" customHeight="1">
      <c r="C150" s="33"/>
      <c r="D150" s="33"/>
      <c r="E150" s="33"/>
      <c r="F150" s="33"/>
      <c r="J150" s="28"/>
      <c r="K150" s="28"/>
    </row>
    <row r="151" spans="3:11" s="27" customFormat="1" ht="11.25" customHeight="1">
      <c r="C151" s="33"/>
      <c r="D151" s="33"/>
      <c r="E151" s="33"/>
      <c r="F151" s="33"/>
      <c r="J151" s="28"/>
      <c r="K151" s="28"/>
    </row>
    <row r="152" spans="3:11" s="27" customFormat="1" ht="11.25" customHeight="1">
      <c r="C152" s="33"/>
      <c r="D152" s="33"/>
      <c r="E152" s="33"/>
      <c r="F152" s="33"/>
      <c r="J152" s="28"/>
      <c r="K152" s="28"/>
    </row>
    <row r="153" spans="3:11" s="27" customFormat="1" ht="11.25" customHeight="1">
      <c r="C153" s="33"/>
      <c r="D153" s="33"/>
      <c r="E153" s="33"/>
      <c r="F153" s="33"/>
      <c r="J153" s="28"/>
      <c r="K153" s="28"/>
    </row>
    <row r="154" spans="3:11" s="27" customFormat="1" ht="11.25" customHeight="1">
      <c r="C154" s="33"/>
      <c r="D154" s="33"/>
      <c r="E154" s="33"/>
      <c r="F154" s="33"/>
      <c r="J154" s="28"/>
      <c r="K154" s="28"/>
    </row>
    <row r="155" spans="3:11" s="27" customFormat="1" ht="11.25" customHeight="1">
      <c r="C155" s="33"/>
      <c r="D155" s="33"/>
      <c r="E155" s="33"/>
      <c r="F155" s="33"/>
      <c r="J155" s="28"/>
      <c r="K155" s="28"/>
    </row>
    <row r="156" spans="3:11" s="27" customFormat="1" ht="11.25" customHeight="1">
      <c r="C156" s="33"/>
      <c r="D156" s="33"/>
      <c r="E156" s="33"/>
      <c r="F156" s="33"/>
      <c r="J156" s="28"/>
      <c r="K156" s="28"/>
    </row>
    <row r="157" spans="3:11" s="27" customFormat="1" ht="11.25" customHeight="1">
      <c r="C157" s="33"/>
      <c r="D157" s="33"/>
      <c r="E157" s="33"/>
      <c r="F157" s="33"/>
      <c r="J157" s="28"/>
      <c r="K157" s="28"/>
    </row>
    <row r="158" spans="3:11" s="27" customFormat="1" ht="11.25" customHeight="1">
      <c r="C158" s="33"/>
      <c r="D158" s="33"/>
      <c r="E158" s="33"/>
      <c r="F158" s="33"/>
      <c r="J158" s="28"/>
      <c r="K158" s="28"/>
    </row>
    <row r="159" spans="3:11" s="27" customFormat="1" ht="11.25" customHeight="1">
      <c r="C159" s="33"/>
      <c r="D159" s="33"/>
      <c r="E159" s="33"/>
      <c r="F159" s="33"/>
      <c r="J159" s="28"/>
      <c r="K159" s="28"/>
    </row>
    <row r="160" spans="3:11" s="27" customFormat="1" ht="11.25" customHeight="1">
      <c r="C160" s="33"/>
      <c r="D160" s="33"/>
      <c r="E160" s="33"/>
      <c r="F160" s="33"/>
      <c r="J160" s="28"/>
      <c r="K160" s="28"/>
    </row>
    <row r="161" spans="3:11" s="27" customFormat="1" ht="11.25" customHeight="1">
      <c r="C161" s="33"/>
      <c r="D161" s="33"/>
      <c r="E161" s="33"/>
      <c r="F161" s="33"/>
      <c r="J161" s="28"/>
      <c r="K161" s="28"/>
    </row>
    <row r="162" spans="3:11" s="27" customFormat="1" ht="11.25" customHeight="1">
      <c r="C162" s="33"/>
      <c r="D162" s="33"/>
      <c r="E162" s="33"/>
      <c r="F162" s="33"/>
      <c r="J162" s="28"/>
      <c r="K162" s="28"/>
    </row>
    <row r="163" spans="3:11" s="27" customFormat="1" ht="11.25" customHeight="1">
      <c r="C163" s="33"/>
      <c r="D163" s="33"/>
      <c r="E163" s="33"/>
      <c r="F163" s="33"/>
      <c r="J163" s="28"/>
      <c r="K163" s="28"/>
    </row>
    <row r="164" spans="3:11" s="27" customFormat="1" ht="11.25" customHeight="1">
      <c r="C164" s="33"/>
      <c r="D164" s="33"/>
      <c r="E164" s="33"/>
      <c r="F164" s="33"/>
      <c r="J164" s="28"/>
      <c r="K164" s="28"/>
    </row>
    <row r="165" spans="3:11" s="27" customFormat="1" ht="11.25" customHeight="1">
      <c r="C165" s="33"/>
      <c r="D165" s="33"/>
      <c r="E165" s="33"/>
      <c r="F165" s="33"/>
      <c r="J165" s="28"/>
      <c r="K165" s="28"/>
    </row>
    <row r="166" spans="3:11" s="27" customFormat="1" ht="11.25" customHeight="1">
      <c r="C166" s="33"/>
      <c r="D166" s="33"/>
      <c r="E166" s="33"/>
      <c r="F166" s="33"/>
      <c r="J166" s="28"/>
      <c r="K166" s="28"/>
    </row>
    <row r="167" spans="3:11" s="27" customFormat="1" ht="11.25" customHeight="1">
      <c r="C167" s="33"/>
      <c r="D167" s="33"/>
      <c r="E167" s="33"/>
      <c r="F167" s="33"/>
      <c r="J167" s="28"/>
      <c r="K167" s="28"/>
    </row>
    <row r="168" spans="3:11" s="27" customFormat="1" ht="11.25" customHeight="1">
      <c r="C168" s="33"/>
      <c r="D168" s="33"/>
      <c r="E168" s="33"/>
      <c r="F168" s="33"/>
      <c r="J168" s="28"/>
      <c r="K168" s="28"/>
    </row>
    <row r="169" spans="3:11" s="27" customFormat="1" ht="11.25" customHeight="1">
      <c r="C169" s="33"/>
      <c r="D169" s="33"/>
      <c r="E169" s="33"/>
      <c r="F169" s="33"/>
      <c r="J169" s="28"/>
      <c r="K169" s="28"/>
    </row>
    <row r="170" spans="3:11" s="27" customFormat="1" ht="11.25" customHeight="1">
      <c r="C170" s="33"/>
      <c r="D170" s="33"/>
      <c r="E170" s="33"/>
      <c r="F170" s="33"/>
      <c r="J170" s="28"/>
      <c r="K170" s="28"/>
    </row>
    <row r="171" spans="3:11" s="27" customFormat="1" ht="11.25" customHeight="1">
      <c r="C171" s="33"/>
      <c r="D171" s="33"/>
      <c r="E171" s="33"/>
      <c r="F171" s="33"/>
      <c r="J171" s="28"/>
      <c r="K171" s="28"/>
    </row>
    <row r="172" spans="3:11" s="27" customFormat="1" ht="11.25" customHeight="1">
      <c r="C172" s="33"/>
      <c r="D172" s="33"/>
      <c r="E172" s="33"/>
      <c r="F172" s="33"/>
      <c r="J172" s="28"/>
      <c r="K172" s="28"/>
    </row>
    <row r="173" spans="3:11" s="27" customFormat="1" ht="11.25" customHeight="1">
      <c r="C173" s="33"/>
      <c r="D173" s="33"/>
      <c r="E173" s="33"/>
      <c r="F173" s="33"/>
      <c r="J173" s="28"/>
      <c r="K173" s="28"/>
    </row>
    <row r="174" spans="3:11" s="27" customFormat="1" ht="11.25" customHeight="1">
      <c r="C174" s="33"/>
      <c r="D174" s="33"/>
      <c r="E174" s="33"/>
      <c r="F174" s="33"/>
      <c r="J174" s="28"/>
      <c r="K174" s="28"/>
    </row>
    <row r="175" spans="3:11" s="27" customFormat="1" ht="11.25" customHeight="1">
      <c r="C175" s="33"/>
      <c r="D175" s="33"/>
      <c r="E175" s="33"/>
      <c r="F175" s="33"/>
      <c r="J175" s="28"/>
      <c r="K175" s="28"/>
    </row>
    <row r="176" spans="3:11" s="27" customFormat="1" ht="11.25" customHeight="1">
      <c r="C176" s="33"/>
      <c r="D176" s="33"/>
      <c r="E176" s="33"/>
      <c r="F176" s="33"/>
      <c r="J176" s="28"/>
      <c r="K176" s="28"/>
    </row>
    <row r="177" spans="3:11" s="27" customFormat="1" ht="11.25" customHeight="1">
      <c r="C177" s="33"/>
      <c r="D177" s="33"/>
      <c r="E177" s="33"/>
      <c r="F177" s="33"/>
      <c r="J177" s="28"/>
      <c r="K177" s="28"/>
    </row>
    <row r="178" spans="3:11" s="27" customFormat="1" ht="11.25" customHeight="1">
      <c r="C178" s="33"/>
      <c r="D178" s="33"/>
      <c r="E178" s="33"/>
      <c r="F178" s="33"/>
      <c r="J178" s="28"/>
      <c r="K178" s="28"/>
    </row>
    <row r="179" spans="3:11" s="27" customFormat="1" ht="11.25" customHeight="1">
      <c r="C179" s="33"/>
      <c r="D179" s="33"/>
      <c r="E179" s="33"/>
      <c r="F179" s="33"/>
      <c r="J179" s="28"/>
      <c r="K179" s="28"/>
    </row>
    <row r="180" spans="3:11" s="27" customFormat="1" ht="11.25" customHeight="1">
      <c r="C180" s="33"/>
      <c r="D180" s="33"/>
      <c r="E180" s="33"/>
      <c r="F180" s="33"/>
      <c r="J180" s="28"/>
      <c r="K180" s="28"/>
    </row>
    <row r="181" spans="3:11" s="27" customFormat="1" ht="11.25" customHeight="1">
      <c r="C181" s="33"/>
      <c r="D181" s="33"/>
      <c r="E181" s="33"/>
      <c r="F181" s="33"/>
      <c r="J181" s="28"/>
      <c r="K181" s="28"/>
    </row>
    <row r="182" spans="3:11" s="27" customFormat="1" ht="11.25" customHeight="1">
      <c r="C182" s="33"/>
      <c r="D182" s="33"/>
      <c r="E182" s="33"/>
      <c r="F182" s="33"/>
      <c r="J182" s="28"/>
      <c r="K182" s="28"/>
    </row>
    <row r="183" spans="3:11" s="27" customFormat="1" ht="11.25" customHeight="1">
      <c r="C183" s="33"/>
      <c r="D183" s="33"/>
      <c r="E183" s="33"/>
      <c r="F183" s="33"/>
      <c r="J183" s="28"/>
      <c r="K183" s="28"/>
    </row>
    <row r="184" spans="3:11" s="27" customFormat="1" ht="11.25" customHeight="1">
      <c r="C184" s="33"/>
      <c r="D184" s="33"/>
      <c r="E184" s="33"/>
      <c r="F184" s="33"/>
      <c r="J184" s="28"/>
      <c r="K184" s="28"/>
    </row>
    <row r="185" spans="3:11" s="27" customFormat="1" ht="11.25" customHeight="1">
      <c r="C185" s="33"/>
      <c r="D185" s="33"/>
      <c r="E185" s="33"/>
      <c r="F185" s="33"/>
      <c r="J185" s="28"/>
      <c r="K185" s="28"/>
    </row>
    <row r="186" spans="3:11" s="27" customFormat="1" ht="11.25" customHeight="1">
      <c r="C186" s="33"/>
      <c r="D186" s="33"/>
      <c r="E186" s="33"/>
      <c r="F186" s="33"/>
      <c r="J186" s="28"/>
      <c r="K186" s="28"/>
    </row>
    <row r="187" spans="3:11" s="27" customFormat="1" ht="11.25" customHeight="1">
      <c r="C187" s="33"/>
      <c r="D187" s="33"/>
      <c r="E187" s="33"/>
      <c r="F187" s="33"/>
      <c r="J187" s="28"/>
      <c r="K187" s="28"/>
    </row>
    <row r="188" spans="3:11" s="27" customFormat="1" ht="11.25" customHeight="1">
      <c r="C188" s="33"/>
      <c r="D188" s="33"/>
      <c r="E188" s="33"/>
      <c r="F188" s="33"/>
      <c r="J188" s="28"/>
      <c r="K188" s="28"/>
    </row>
    <row r="189" spans="3:11" s="27" customFormat="1" ht="11.25" customHeight="1">
      <c r="C189" s="33"/>
      <c r="D189" s="33"/>
      <c r="E189" s="33"/>
      <c r="F189" s="33"/>
      <c r="J189" s="28"/>
      <c r="K189" s="28"/>
    </row>
    <row r="190" spans="3:11" s="27" customFormat="1" ht="11.25" customHeight="1">
      <c r="C190" s="33"/>
      <c r="D190" s="33"/>
      <c r="E190" s="33"/>
      <c r="F190" s="33"/>
      <c r="J190" s="28"/>
      <c r="K190" s="28"/>
    </row>
    <row r="191" spans="3:11" s="27" customFormat="1" ht="11.25" customHeight="1">
      <c r="C191" s="33"/>
      <c r="D191" s="33"/>
      <c r="E191" s="33"/>
      <c r="F191" s="33"/>
      <c r="J191" s="28"/>
      <c r="K191" s="28"/>
    </row>
    <row r="192" spans="3:11" s="27" customFormat="1" ht="11.25" customHeight="1">
      <c r="C192" s="33"/>
      <c r="D192" s="33"/>
      <c r="E192" s="33"/>
      <c r="F192" s="33"/>
      <c r="J192" s="28"/>
      <c r="K192" s="28"/>
    </row>
    <row r="193" spans="3:11" s="27" customFormat="1" ht="11.25" customHeight="1">
      <c r="C193" s="33"/>
      <c r="D193" s="33"/>
      <c r="E193" s="33"/>
      <c r="F193" s="33"/>
      <c r="J193" s="28"/>
      <c r="K193" s="28"/>
    </row>
    <row r="194" spans="3:11" s="27" customFormat="1" ht="11.25" customHeight="1">
      <c r="C194" s="33"/>
      <c r="D194" s="33"/>
      <c r="E194" s="33"/>
      <c r="F194" s="33"/>
      <c r="J194" s="28"/>
      <c r="K194" s="28"/>
    </row>
    <row r="195" spans="3:11" s="27" customFormat="1" ht="11.25" customHeight="1">
      <c r="C195" s="33"/>
      <c r="D195" s="33"/>
      <c r="E195" s="33"/>
      <c r="F195" s="33"/>
      <c r="J195" s="28"/>
      <c r="K195" s="28"/>
    </row>
    <row r="196" spans="3:11" s="27" customFormat="1" ht="11.25" customHeight="1">
      <c r="C196" s="33"/>
      <c r="D196" s="33"/>
      <c r="E196" s="33"/>
      <c r="F196" s="33"/>
      <c r="J196" s="28"/>
      <c r="K196" s="28"/>
    </row>
    <row r="197" spans="3:11" s="27" customFormat="1" ht="11.25" customHeight="1">
      <c r="C197" s="33"/>
      <c r="D197" s="33"/>
      <c r="E197" s="33"/>
      <c r="F197" s="33"/>
      <c r="J197" s="28"/>
      <c r="K197" s="28"/>
    </row>
    <row r="198" spans="3:11" s="27" customFormat="1" ht="11.25" customHeight="1">
      <c r="C198" s="33"/>
      <c r="D198" s="33"/>
      <c r="E198" s="33"/>
      <c r="F198" s="33"/>
      <c r="J198" s="28"/>
      <c r="K198" s="28"/>
    </row>
    <row r="199" spans="3:11" s="27" customFormat="1" ht="11.25" customHeight="1">
      <c r="C199" s="33"/>
      <c r="D199" s="33"/>
      <c r="E199" s="33"/>
      <c r="F199" s="33"/>
      <c r="J199" s="28"/>
      <c r="K199" s="28"/>
    </row>
    <row r="200" spans="3:11" s="27" customFormat="1" ht="11.25" customHeight="1">
      <c r="C200" s="33"/>
      <c r="D200" s="33"/>
      <c r="E200" s="33"/>
      <c r="F200" s="33"/>
      <c r="J200" s="28"/>
      <c r="K200" s="28"/>
    </row>
    <row r="201" spans="3:11" s="27" customFormat="1" ht="11.25" customHeight="1">
      <c r="C201" s="33"/>
      <c r="D201" s="33"/>
      <c r="E201" s="33"/>
      <c r="F201" s="33"/>
      <c r="J201" s="28"/>
      <c r="K201" s="28"/>
    </row>
    <row r="202" spans="3:11" s="27" customFormat="1" ht="11.25" customHeight="1">
      <c r="C202" s="33"/>
      <c r="D202" s="33"/>
      <c r="E202" s="33"/>
      <c r="F202" s="33"/>
      <c r="J202" s="28"/>
      <c r="K202" s="28"/>
    </row>
    <row r="203" spans="3:11" s="27" customFormat="1" ht="11.25" customHeight="1">
      <c r="C203" s="33"/>
      <c r="D203" s="33"/>
      <c r="E203" s="33"/>
      <c r="F203" s="33"/>
      <c r="J203" s="28"/>
      <c r="K203" s="28"/>
    </row>
    <row r="204" spans="3:11" s="27" customFormat="1" ht="11.25" customHeight="1">
      <c r="C204" s="33"/>
      <c r="D204" s="33"/>
      <c r="E204" s="33"/>
      <c r="F204" s="33"/>
      <c r="J204" s="28"/>
      <c r="K204" s="28"/>
    </row>
    <row r="205" spans="3:11" s="27" customFormat="1" ht="11.25" customHeight="1">
      <c r="C205" s="33"/>
      <c r="D205" s="33"/>
      <c r="E205" s="33"/>
      <c r="F205" s="33"/>
      <c r="J205" s="28"/>
      <c r="K205" s="28"/>
    </row>
    <row r="206" spans="3:11" s="27" customFormat="1" ht="11.25" customHeight="1">
      <c r="C206" s="33"/>
      <c r="D206" s="33"/>
      <c r="E206" s="33"/>
      <c r="F206" s="33"/>
      <c r="J206" s="28"/>
      <c r="K206" s="28"/>
    </row>
    <row r="207" spans="3:11" s="27" customFormat="1" ht="11.25" customHeight="1">
      <c r="C207" s="33"/>
      <c r="D207" s="33"/>
      <c r="E207" s="33"/>
      <c r="F207" s="33"/>
      <c r="J207" s="28"/>
      <c r="K207" s="28"/>
    </row>
    <row r="208" spans="3:11" s="27" customFormat="1" ht="11.25" customHeight="1">
      <c r="C208" s="33"/>
      <c r="D208" s="33"/>
      <c r="E208" s="33"/>
      <c r="F208" s="33"/>
      <c r="J208" s="28"/>
      <c r="K208" s="28"/>
    </row>
    <row r="209" spans="3:11" s="27" customFormat="1" ht="11.25" customHeight="1">
      <c r="C209" s="33"/>
      <c r="D209" s="33"/>
      <c r="E209" s="33"/>
      <c r="F209" s="33"/>
      <c r="J209" s="28"/>
      <c r="K209" s="28"/>
    </row>
    <row r="210" spans="3:11" s="27" customFormat="1" ht="11.25" customHeight="1">
      <c r="C210" s="33"/>
      <c r="D210" s="33"/>
      <c r="E210" s="33"/>
      <c r="F210" s="33"/>
      <c r="J210" s="28"/>
      <c r="K210" s="28"/>
    </row>
    <row r="211" spans="3:11" s="27" customFormat="1" ht="11.25" customHeight="1">
      <c r="C211" s="33"/>
      <c r="D211" s="33"/>
      <c r="E211" s="33"/>
      <c r="F211" s="33"/>
      <c r="J211" s="28"/>
      <c r="K211" s="28"/>
    </row>
    <row r="212" spans="3:11" s="27" customFormat="1" ht="11.25" customHeight="1">
      <c r="C212" s="33"/>
      <c r="D212" s="33"/>
      <c r="E212" s="33"/>
      <c r="F212" s="33"/>
      <c r="J212" s="28"/>
      <c r="K212" s="28"/>
    </row>
    <row r="213" spans="3:11" s="27" customFormat="1" ht="11.25" customHeight="1">
      <c r="C213" s="33"/>
      <c r="D213" s="33"/>
      <c r="E213" s="33"/>
      <c r="F213" s="33"/>
      <c r="J213" s="28"/>
      <c r="K213" s="28"/>
    </row>
    <row r="214" spans="3:11" s="27" customFormat="1" ht="11.25" customHeight="1">
      <c r="C214" s="33"/>
      <c r="D214" s="33"/>
      <c r="E214" s="33"/>
      <c r="F214" s="33"/>
      <c r="J214" s="28"/>
      <c r="K214" s="28"/>
    </row>
    <row r="215" spans="3:11" s="27" customFormat="1" ht="11.25" customHeight="1">
      <c r="C215" s="33"/>
      <c r="D215" s="33"/>
      <c r="E215" s="33"/>
      <c r="F215" s="33"/>
      <c r="J215" s="28"/>
      <c r="K215" s="28"/>
    </row>
    <row r="216" spans="3:11" s="27" customFormat="1" ht="11.25" customHeight="1">
      <c r="C216" s="33"/>
      <c r="D216" s="33"/>
      <c r="E216" s="33"/>
      <c r="F216" s="33"/>
      <c r="J216" s="28"/>
      <c r="K216" s="28"/>
    </row>
    <row r="217" spans="3:11" s="27" customFormat="1" ht="11.25" customHeight="1">
      <c r="C217" s="33"/>
      <c r="D217" s="33"/>
      <c r="E217" s="33"/>
      <c r="F217" s="33"/>
      <c r="J217" s="28"/>
      <c r="K217" s="28"/>
    </row>
    <row r="218" spans="3:11" s="27" customFormat="1" ht="11.25" customHeight="1">
      <c r="C218" s="33"/>
      <c r="D218" s="33"/>
      <c r="E218" s="33"/>
      <c r="F218" s="33"/>
      <c r="J218" s="28"/>
      <c r="K218" s="28"/>
    </row>
    <row r="219" spans="3:11" s="27" customFormat="1" ht="11.25" customHeight="1">
      <c r="C219" s="33"/>
      <c r="D219" s="33"/>
      <c r="E219" s="33"/>
      <c r="F219" s="33"/>
      <c r="J219" s="28"/>
      <c r="K219" s="28"/>
    </row>
    <row r="220" spans="3:11" s="27" customFormat="1" ht="11.25" customHeight="1">
      <c r="C220" s="33"/>
      <c r="D220" s="33"/>
      <c r="E220" s="33"/>
      <c r="F220" s="33"/>
      <c r="J220" s="28"/>
      <c r="K220" s="28"/>
    </row>
    <row r="221" spans="3:11" s="27" customFormat="1" ht="11.25" customHeight="1">
      <c r="C221" s="33"/>
      <c r="D221" s="33"/>
      <c r="E221" s="33"/>
      <c r="F221" s="33"/>
      <c r="J221" s="28"/>
      <c r="K221" s="28"/>
    </row>
    <row r="222" spans="3:11" s="27" customFormat="1" ht="11.25" customHeight="1">
      <c r="C222" s="33"/>
      <c r="D222" s="33"/>
      <c r="E222" s="33"/>
      <c r="F222" s="33"/>
      <c r="J222" s="28"/>
      <c r="K222" s="28"/>
    </row>
    <row r="223" spans="3:11" s="27" customFormat="1" ht="11.25" customHeight="1">
      <c r="C223" s="33"/>
      <c r="D223" s="33"/>
      <c r="E223" s="33"/>
      <c r="F223" s="33"/>
      <c r="J223" s="28"/>
      <c r="K223" s="28"/>
    </row>
    <row r="224" spans="3:11" s="27" customFormat="1" ht="11.25" customHeight="1">
      <c r="C224" s="33"/>
      <c r="D224" s="33"/>
      <c r="E224" s="33"/>
      <c r="F224" s="33"/>
      <c r="J224" s="28"/>
      <c r="K224" s="28"/>
    </row>
    <row r="225" spans="3:11" s="27" customFormat="1" ht="11.25" customHeight="1">
      <c r="C225" s="33"/>
      <c r="D225" s="33"/>
      <c r="E225" s="33"/>
      <c r="F225" s="33"/>
      <c r="J225" s="28"/>
      <c r="K225" s="28"/>
    </row>
    <row r="226" spans="3:11" s="27" customFormat="1" ht="11.25" customHeight="1">
      <c r="C226" s="33"/>
      <c r="D226" s="33"/>
      <c r="E226" s="33"/>
      <c r="F226" s="33"/>
      <c r="J226" s="28"/>
      <c r="K226" s="28"/>
    </row>
    <row r="227" spans="3:11" s="27" customFormat="1" ht="11.25" customHeight="1">
      <c r="C227" s="33"/>
      <c r="D227" s="33"/>
      <c r="E227" s="33"/>
      <c r="F227" s="33"/>
      <c r="J227" s="28"/>
      <c r="K227" s="28"/>
    </row>
    <row r="228" spans="3:11" s="27" customFormat="1" ht="11.25" customHeight="1">
      <c r="C228" s="33"/>
      <c r="D228" s="33"/>
      <c r="E228" s="33"/>
      <c r="F228" s="33"/>
      <c r="J228" s="28"/>
      <c r="K228" s="28"/>
    </row>
    <row r="229" spans="3:11" s="27" customFormat="1" ht="11.25" customHeight="1">
      <c r="C229" s="33"/>
      <c r="D229" s="33"/>
      <c r="E229" s="33"/>
      <c r="F229" s="33"/>
      <c r="J229" s="28"/>
      <c r="K229" s="28"/>
    </row>
    <row r="230" spans="3:11" s="27" customFormat="1" ht="11.25" customHeight="1">
      <c r="C230" s="33"/>
      <c r="D230" s="33"/>
      <c r="E230" s="33"/>
      <c r="F230" s="33"/>
      <c r="J230" s="28"/>
      <c r="K230" s="28"/>
    </row>
    <row r="231" spans="3:11" s="27" customFormat="1" ht="11.25" customHeight="1">
      <c r="C231" s="33"/>
      <c r="D231" s="33"/>
      <c r="E231" s="33"/>
      <c r="F231" s="33"/>
      <c r="J231" s="28"/>
      <c r="K231" s="28"/>
    </row>
    <row r="232" spans="3:11" s="27" customFormat="1" ht="11.25" customHeight="1">
      <c r="C232" s="33"/>
      <c r="D232" s="33"/>
      <c r="E232" s="33"/>
      <c r="F232" s="33"/>
      <c r="J232" s="28"/>
      <c r="K232" s="28"/>
    </row>
    <row r="233" spans="3:11" s="27" customFormat="1" ht="11.25" customHeight="1">
      <c r="C233" s="33"/>
      <c r="D233" s="33"/>
      <c r="E233" s="33"/>
      <c r="F233" s="33"/>
      <c r="J233" s="28"/>
      <c r="K233" s="28"/>
    </row>
    <row r="234" spans="3:11" s="27" customFormat="1" ht="11.25" customHeight="1">
      <c r="C234" s="33"/>
      <c r="D234" s="33"/>
      <c r="E234" s="33"/>
      <c r="F234" s="33"/>
      <c r="J234" s="28"/>
      <c r="K234" s="28"/>
    </row>
    <row r="235" spans="3:11" s="27" customFormat="1" ht="11.25" customHeight="1">
      <c r="C235" s="33"/>
      <c r="D235" s="33"/>
      <c r="E235" s="33"/>
      <c r="F235" s="33"/>
      <c r="J235" s="28"/>
      <c r="K235" s="28"/>
    </row>
    <row r="236" spans="3:11" s="27" customFormat="1" ht="11.25" customHeight="1">
      <c r="C236" s="33"/>
      <c r="D236" s="33"/>
      <c r="E236" s="33"/>
      <c r="F236" s="33"/>
      <c r="J236" s="28"/>
      <c r="K236" s="28"/>
    </row>
    <row r="237" spans="3:11" s="27" customFormat="1" ht="11.25" customHeight="1">
      <c r="C237" s="33"/>
      <c r="D237" s="33"/>
      <c r="E237" s="33"/>
      <c r="F237" s="33"/>
      <c r="J237" s="28"/>
      <c r="K237" s="28"/>
    </row>
    <row r="238" spans="3:11" s="27" customFormat="1" ht="11.25" customHeight="1">
      <c r="C238" s="33"/>
      <c r="D238" s="33"/>
      <c r="E238" s="33"/>
      <c r="F238" s="33"/>
      <c r="J238" s="28"/>
      <c r="K238" s="28"/>
    </row>
    <row r="239" spans="3:11" s="27" customFormat="1" ht="11.25" customHeight="1">
      <c r="C239" s="33"/>
      <c r="D239" s="33"/>
      <c r="E239" s="33"/>
      <c r="F239" s="33"/>
      <c r="J239" s="28"/>
      <c r="K239" s="28"/>
    </row>
    <row r="240" spans="3:11" s="27" customFormat="1" ht="11.25" customHeight="1">
      <c r="C240" s="33"/>
      <c r="D240" s="33"/>
      <c r="E240" s="33"/>
      <c r="F240" s="33"/>
      <c r="J240" s="28"/>
      <c r="K240" s="28"/>
    </row>
    <row r="241" spans="3:11" s="27" customFormat="1" ht="11.25" customHeight="1">
      <c r="C241" s="33"/>
      <c r="D241" s="33"/>
      <c r="E241" s="33"/>
      <c r="F241" s="33"/>
      <c r="J241" s="28"/>
      <c r="K241" s="28"/>
    </row>
    <row r="242" spans="3:11" s="27" customFormat="1" ht="11.25" customHeight="1">
      <c r="C242" s="33"/>
      <c r="D242" s="33"/>
      <c r="E242" s="33"/>
      <c r="F242" s="33"/>
      <c r="J242" s="28"/>
      <c r="K242" s="28"/>
    </row>
    <row r="243" spans="3:11" s="27" customFormat="1" ht="11.25" customHeight="1">
      <c r="C243" s="33"/>
      <c r="D243" s="33"/>
      <c r="E243" s="33"/>
      <c r="F243" s="33"/>
      <c r="J243" s="28"/>
      <c r="K243" s="28"/>
    </row>
    <row r="244" spans="3:11" s="27" customFormat="1" ht="11.25" customHeight="1">
      <c r="C244" s="33"/>
      <c r="D244" s="33"/>
      <c r="E244" s="33"/>
      <c r="F244" s="33"/>
      <c r="J244" s="28"/>
      <c r="K244" s="28"/>
    </row>
    <row r="245" spans="3:11" s="27" customFormat="1" ht="11.25" customHeight="1">
      <c r="C245" s="33"/>
      <c r="D245" s="33"/>
      <c r="E245" s="33"/>
      <c r="F245" s="33"/>
      <c r="J245" s="28"/>
      <c r="K245" s="28"/>
    </row>
    <row r="246" spans="3:11" s="27" customFormat="1" ht="11.25" customHeight="1">
      <c r="C246" s="33"/>
      <c r="D246" s="33"/>
      <c r="E246" s="33"/>
      <c r="F246" s="33"/>
      <c r="J246" s="28"/>
      <c r="K246" s="28"/>
    </row>
    <row r="247" spans="3:11" s="27" customFormat="1" ht="11.25" customHeight="1">
      <c r="C247" s="33"/>
      <c r="D247" s="33"/>
      <c r="E247" s="33"/>
      <c r="F247" s="33"/>
      <c r="J247" s="28"/>
      <c r="K247" s="28"/>
    </row>
    <row r="248" spans="3:11" s="27" customFormat="1" ht="11.25" customHeight="1">
      <c r="C248" s="33"/>
      <c r="D248" s="33"/>
      <c r="E248" s="33"/>
      <c r="F248" s="33"/>
      <c r="J248" s="28"/>
      <c r="K248" s="28"/>
    </row>
    <row r="249" spans="3:11" s="27" customFormat="1" ht="11.25" customHeight="1">
      <c r="C249" s="33"/>
      <c r="D249" s="33"/>
      <c r="E249" s="33"/>
      <c r="F249" s="33"/>
      <c r="J249" s="28"/>
      <c r="K249" s="28"/>
    </row>
    <row r="250" spans="3:11" s="27" customFormat="1" ht="11.25" customHeight="1">
      <c r="C250" s="33"/>
      <c r="D250" s="33"/>
      <c r="E250" s="33"/>
      <c r="F250" s="33"/>
      <c r="J250" s="28"/>
      <c r="K250" s="28"/>
    </row>
    <row r="251" spans="3:11" s="27" customFormat="1" ht="11.25" customHeight="1">
      <c r="C251" s="33"/>
      <c r="D251" s="33"/>
      <c r="E251" s="33"/>
      <c r="F251" s="33"/>
      <c r="J251" s="28"/>
      <c r="K251" s="28"/>
    </row>
    <row r="252" spans="3:11" s="27" customFormat="1" ht="11.25" customHeight="1">
      <c r="C252" s="33"/>
      <c r="D252" s="33"/>
      <c r="E252" s="33"/>
      <c r="F252" s="33"/>
      <c r="J252" s="28"/>
      <c r="K252" s="28"/>
    </row>
    <row r="253" spans="3:11" s="27" customFormat="1" ht="11.25" customHeight="1">
      <c r="C253" s="33"/>
      <c r="D253" s="33"/>
      <c r="E253" s="33"/>
      <c r="F253" s="33"/>
      <c r="J253" s="28"/>
      <c r="K253" s="28"/>
    </row>
    <row r="254" spans="3:11" s="27" customFormat="1" ht="11.25" customHeight="1">
      <c r="C254" s="33"/>
      <c r="D254" s="33"/>
      <c r="E254" s="33"/>
      <c r="F254" s="33"/>
      <c r="J254" s="28"/>
      <c r="K254" s="28"/>
    </row>
    <row r="255" spans="3:11" s="27" customFormat="1" ht="11.25" customHeight="1">
      <c r="C255" s="33"/>
      <c r="D255" s="33"/>
      <c r="E255" s="33"/>
      <c r="F255" s="33"/>
      <c r="J255" s="28"/>
      <c r="K255" s="28"/>
    </row>
    <row r="256" spans="3:11" s="27" customFormat="1" ht="11.25" customHeight="1">
      <c r="C256" s="33"/>
      <c r="D256" s="33"/>
      <c r="E256" s="33"/>
      <c r="F256" s="33"/>
      <c r="J256" s="28"/>
      <c r="K256" s="28"/>
    </row>
    <row r="257" spans="3:11" s="27" customFormat="1" ht="11.25" customHeight="1">
      <c r="C257" s="33"/>
      <c r="D257" s="33"/>
      <c r="E257" s="33"/>
      <c r="F257" s="33"/>
      <c r="J257" s="28"/>
      <c r="K257" s="28"/>
    </row>
    <row r="258" spans="3:11" s="27" customFormat="1" ht="11.25" customHeight="1">
      <c r="C258" s="33"/>
      <c r="D258" s="33"/>
      <c r="E258" s="33"/>
      <c r="F258" s="33"/>
      <c r="J258" s="28"/>
      <c r="K258" s="28"/>
    </row>
    <row r="259" spans="3:11" s="27" customFormat="1" ht="11.25" customHeight="1">
      <c r="C259" s="33"/>
      <c r="D259" s="33"/>
      <c r="E259" s="33"/>
      <c r="F259" s="33"/>
      <c r="J259" s="28"/>
      <c r="K259" s="28"/>
    </row>
    <row r="260" spans="3:11" s="27" customFormat="1" ht="11.25" customHeight="1">
      <c r="C260" s="33"/>
      <c r="D260" s="33"/>
      <c r="E260" s="33"/>
      <c r="F260" s="33"/>
      <c r="J260" s="28"/>
      <c r="K260" s="28"/>
    </row>
    <row r="261" spans="3:11" s="27" customFormat="1" ht="11.25" customHeight="1">
      <c r="C261" s="33"/>
      <c r="D261" s="33"/>
      <c r="E261" s="33"/>
      <c r="F261" s="33"/>
      <c r="J261" s="28"/>
      <c r="K261" s="28"/>
    </row>
    <row r="262" spans="3:11" s="27" customFormat="1" ht="11.25" customHeight="1">
      <c r="C262" s="33"/>
      <c r="D262" s="33"/>
      <c r="E262" s="33"/>
      <c r="F262" s="33"/>
      <c r="J262" s="28"/>
      <c r="K262" s="28"/>
    </row>
    <row r="263" spans="3:11" s="27" customFormat="1" ht="11.25" customHeight="1">
      <c r="C263" s="33"/>
      <c r="D263" s="33"/>
      <c r="E263" s="33"/>
      <c r="F263" s="33"/>
      <c r="J263" s="28"/>
      <c r="K263" s="28"/>
    </row>
    <row r="264" spans="3:11" s="27" customFormat="1" ht="11.25" customHeight="1">
      <c r="C264" s="33"/>
      <c r="D264" s="33"/>
      <c r="E264" s="33"/>
      <c r="F264" s="33"/>
      <c r="J264" s="28"/>
      <c r="K264" s="28"/>
    </row>
    <row r="265" spans="3:11" s="27" customFormat="1" ht="11.25" customHeight="1">
      <c r="C265" s="33"/>
      <c r="D265" s="33"/>
      <c r="E265" s="33"/>
      <c r="F265" s="33"/>
      <c r="J265" s="28"/>
      <c r="K265" s="28"/>
    </row>
    <row r="266" spans="3:11" s="27" customFormat="1" ht="11.25" customHeight="1">
      <c r="C266" s="33"/>
      <c r="D266" s="33"/>
      <c r="E266" s="33"/>
      <c r="F266" s="33"/>
      <c r="J266" s="28"/>
      <c r="K266" s="28"/>
    </row>
    <row r="267" spans="3:11" s="27" customFormat="1" ht="11.25" customHeight="1">
      <c r="C267" s="33"/>
      <c r="D267" s="33"/>
      <c r="E267" s="33"/>
      <c r="F267" s="33"/>
      <c r="J267" s="28"/>
      <c r="K267" s="28"/>
    </row>
    <row r="268" spans="3:11" s="27" customFormat="1" ht="11.25" customHeight="1">
      <c r="C268" s="33"/>
      <c r="D268" s="33"/>
      <c r="E268" s="33"/>
      <c r="F268" s="33"/>
      <c r="J268" s="28"/>
      <c r="K268" s="28"/>
    </row>
    <row r="269" spans="3:11" s="27" customFormat="1" ht="11.25" customHeight="1">
      <c r="C269" s="33"/>
      <c r="D269" s="33"/>
      <c r="E269" s="33"/>
      <c r="F269" s="33"/>
      <c r="J269" s="28"/>
      <c r="K269" s="28"/>
    </row>
    <row r="270" spans="3:11" s="27" customFormat="1" ht="11.25" customHeight="1">
      <c r="C270" s="33"/>
      <c r="D270" s="33"/>
      <c r="E270" s="33"/>
      <c r="F270" s="33"/>
      <c r="J270" s="28"/>
      <c r="K270" s="28"/>
    </row>
    <row r="271" spans="3:11" s="27" customFormat="1" ht="11.25" customHeight="1">
      <c r="C271" s="33"/>
      <c r="D271" s="33"/>
      <c r="E271" s="33"/>
      <c r="F271" s="33"/>
      <c r="J271" s="28"/>
      <c r="K271" s="28"/>
    </row>
    <row r="272" spans="3:11" s="27" customFormat="1" ht="11.25" customHeight="1">
      <c r="C272" s="33"/>
      <c r="D272" s="33"/>
      <c r="E272" s="33"/>
      <c r="F272" s="33"/>
      <c r="J272" s="28"/>
      <c r="K272" s="28"/>
    </row>
    <row r="273" spans="3:11" s="27" customFormat="1" ht="11.25" customHeight="1">
      <c r="C273" s="33"/>
      <c r="D273" s="33"/>
      <c r="E273" s="33"/>
      <c r="F273" s="33"/>
      <c r="J273" s="28"/>
      <c r="K273" s="28"/>
    </row>
    <row r="274" spans="3:11" s="27" customFormat="1" ht="11.25" customHeight="1">
      <c r="C274" s="33"/>
      <c r="D274" s="33"/>
      <c r="E274" s="33"/>
      <c r="F274" s="33"/>
      <c r="J274" s="28"/>
      <c r="K274" s="28"/>
    </row>
    <row r="275" spans="3:11" s="27" customFormat="1" ht="11.25" customHeight="1">
      <c r="C275" s="33"/>
      <c r="D275" s="33"/>
      <c r="E275" s="33"/>
      <c r="F275" s="33"/>
      <c r="J275" s="28"/>
      <c r="K275" s="28"/>
    </row>
    <row r="276" spans="3:11" s="27" customFormat="1" ht="11.25" customHeight="1">
      <c r="C276" s="33"/>
      <c r="D276" s="33"/>
      <c r="E276" s="33"/>
      <c r="F276" s="33"/>
      <c r="J276" s="28"/>
      <c r="K276" s="28"/>
    </row>
    <row r="277" spans="3:11" s="27" customFormat="1" ht="11.25" customHeight="1">
      <c r="C277" s="33"/>
      <c r="D277" s="33"/>
      <c r="E277" s="33"/>
      <c r="F277" s="33"/>
      <c r="J277" s="28"/>
      <c r="K277" s="28"/>
    </row>
    <row r="278" spans="3:11" s="27" customFormat="1" ht="11.25" customHeight="1">
      <c r="C278" s="33"/>
      <c r="D278" s="33"/>
      <c r="E278" s="33"/>
      <c r="F278" s="33"/>
      <c r="J278" s="28"/>
      <c r="K278" s="28"/>
    </row>
    <row r="279" spans="3:11" s="27" customFormat="1" ht="11.25" customHeight="1">
      <c r="C279" s="33"/>
      <c r="D279" s="33"/>
      <c r="E279" s="33"/>
      <c r="F279" s="33"/>
      <c r="J279" s="28"/>
      <c r="K279" s="28"/>
    </row>
    <row r="280" spans="3:11" s="27" customFormat="1" ht="11.25" customHeight="1">
      <c r="C280" s="33"/>
      <c r="D280" s="33"/>
      <c r="E280" s="33"/>
      <c r="F280" s="33"/>
      <c r="J280" s="28"/>
      <c r="K280" s="28"/>
    </row>
    <row r="281" spans="3:11" s="27" customFormat="1" ht="11.25" customHeight="1">
      <c r="C281" s="33"/>
      <c r="D281" s="33"/>
      <c r="E281" s="33"/>
      <c r="F281" s="33"/>
      <c r="J281" s="28"/>
      <c r="K281" s="28"/>
    </row>
    <row r="282" spans="3:11" s="27" customFormat="1" ht="11.25" customHeight="1">
      <c r="C282" s="33"/>
      <c r="D282" s="33"/>
      <c r="E282" s="33"/>
      <c r="F282" s="33"/>
      <c r="J282" s="28"/>
      <c r="K282" s="28"/>
    </row>
    <row r="283" spans="3:11" s="27" customFormat="1" ht="11.25" customHeight="1">
      <c r="C283" s="33"/>
      <c r="D283" s="33"/>
      <c r="E283" s="33"/>
      <c r="F283" s="33"/>
      <c r="J283" s="28"/>
      <c r="K283" s="28"/>
    </row>
    <row r="284" spans="3:11" s="27" customFormat="1" ht="11.25" customHeight="1">
      <c r="C284" s="33"/>
      <c r="D284" s="33"/>
      <c r="E284" s="33"/>
      <c r="F284" s="33"/>
      <c r="J284" s="28"/>
      <c r="K284" s="28"/>
    </row>
    <row r="285" spans="3:11" s="27" customFormat="1" ht="11.25" customHeight="1">
      <c r="C285" s="33"/>
      <c r="D285" s="33"/>
      <c r="E285" s="33"/>
      <c r="F285" s="33"/>
      <c r="J285" s="28"/>
      <c r="K285" s="28"/>
    </row>
    <row r="286" spans="3:11" s="27" customFormat="1" ht="11.25" customHeight="1">
      <c r="C286" s="33"/>
      <c r="D286" s="33"/>
      <c r="E286" s="33"/>
      <c r="F286" s="33"/>
      <c r="J286" s="28"/>
      <c r="K286" s="28"/>
    </row>
    <row r="287" spans="3:11" s="27" customFormat="1" ht="11.25" customHeight="1">
      <c r="C287" s="33"/>
      <c r="D287" s="33"/>
      <c r="E287" s="33"/>
      <c r="F287" s="33"/>
      <c r="J287" s="28"/>
      <c r="K287" s="28"/>
    </row>
    <row r="288" spans="3:11" s="27" customFormat="1" ht="11.25" customHeight="1">
      <c r="C288" s="33"/>
      <c r="D288" s="33"/>
      <c r="E288" s="33"/>
      <c r="F288" s="33"/>
      <c r="J288" s="28"/>
      <c r="K288" s="28"/>
    </row>
    <row r="289" spans="3:11" s="27" customFormat="1" ht="11.25" customHeight="1">
      <c r="C289" s="33"/>
      <c r="D289" s="33"/>
      <c r="E289" s="33"/>
      <c r="F289" s="33"/>
      <c r="J289" s="28"/>
      <c r="K289" s="28"/>
    </row>
    <row r="290" spans="3:11" s="27" customFormat="1" ht="11.25" customHeight="1">
      <c r="C290" s="33"/>
      <c r="D290" s="33"/>
      <c r="E290" s="33"/>
      <c r="F290" s="33"/>
      <c r="J290" s="28"/>
      <c r="K290" s="28"/>
    </row>
    <row r="291" spans="3:11" s="27" customFormat="1" ht="11.25" customHeight="1">
      <c r="C291" s="33"/>
      <c r="D291" s="33"/>
      <c r="E291" s="33"/>
      <c r="F291" s="33"/>
      <c r="J291" s="28"/>
      <c r="K291" s="28"/>
    </row>
    <row r="292" spans="3:11" s="27" customFormat="1" ht="11.25" customHeight="1">
      <c r="C292" s="33"/>
      <c r="D292" s="33"/>
      <c r="E292" s="33"/>
      <c r="F292" s="33"/>
      <c r="J292" s="28"/>
      <c r="K292" s="28"/>
    </row>
    <row r="293" spans="3:11" s="27" customFormat="1" ht="11.25" customHeight="1">
      <c r="C293" s="33"/>
      <c r="D293" s="33"/>
      <c r="E293" s="33"/>
      <c r="F293" s="33"/>
      <c r="J293" s="28"/>
      <c r="K293" s="28"/>
    </row>
    <row r="294" spans="3:11" s="27" customFormat="1" ht="11.25" customHeight="1">
      <c r="C294" s="33"/>
      <c r="D294" s="33"/>
      <c r="E294" s="33"/>
      <c r="F294" s="33"/>
      <c r="J294" s="28"/>
      <c r="K294" s="28"/>
    </row>
    <row r="295" spans="3:11" s="27" customFormat="1" ht="11.25" customHeight="1">
      <c r="C295" s="33"/>
      <c r="D295" s="33"/>
      <c r="E295" s="33"/>
      <c r="F295" s="33"/>
      <c r="J295" s="28"/>
      <c r="K295" s="28"/>
    </row>
    <row r="296" spans="3:11" s="27" customFormat="1" ht="11.25" customHeight="1">
      <c r="C296" s="33"/>
      <c r="D296" s="33"/>
      <c r="E296" s="33"/>
      <c r="F296" s="33"/>
      <c r="J296" s="28"/>
      <c r="K296" s="28"/>
    </row>
    <row r="297" spans="3:11" s="27" customFormat="1" ht="11.25" customHeight="1">
      <c r="C297" s="33"/>
      <c r="D297" s="33"/>
      <c r="E297" s="33"/>
      <c r="F297" s="33"/>
      <c r="J297" s="28"/>
      <c r="K297" s="28"/>
    </row>
    <row r="298" spans="3:11" s="27" customFormat="1" ht="11.25" customHeight="1">
      <c r="C298" s="33"/>
      <c r="D298" s="33"/>
      <c r="E298" s="33"/>
      <c r="F298" s="33"/>
      <c r="J298" s="28"/>
      <c r="K298" s="28"/>
    </row>
    <row r="299" spans="3:11" s="27" customFormat="1" ht="11.25" customHeight="1">
      <c r="C299" s="33"/>
      <c r="D299" s="33"/>
      <c r="E299" s="33"/>
      <c r="F299" s="33"/>
      <c r="J299" s="28"/>
      <c r="K299" s="28"/>
    </row>
    <row r="300" spans="3:11" s="27" customFormat="1" ht="11.25" customHeight="1">
      <c r="C300" s="33"/>
      <c r="D300" s="33"/>
      <c r="E300" s="33"/>
      <c r="F300" s="33"/>
      <c r="J300" s="28"/>
      <c r="K300" s="28"/>
    </row>
    <row r="301" spans="3:11" s="27" customFormat="1" ht="11.25" customHeight="1">
      <c r="C301" s="33"/>
      <c r="D301" s="33"/>
      <c r="E301" s="33"/>
      <c r="F301" s="33"/>
      <c r="J301" s="28"/>
      <c r="K301" s="28"/>
    </row>
    <row r="302" spans="3:11" s="27" customFormat="1" ht="11.25" customHeight="1">
      <c r="C302" s="33"/>
      <c r="D302" s="33"/>
      <c r="E302" s="33"/>
      <c r="F302" s="33"/>
      <c r="J302" s="28"/>
      <c r="K302" s="28"/>
    </row>
    <row r="303" spans="3:11" s="27" customFormat="1" ht="11.25" customHeight="1">
      <c r="C303" s="33"/>
      <c r="D303" s="33"/>
      <c r="E303" s="33"/>
      <c r="F303" s="33"/>
      <c r="J303" s="28"/>
      <c r="K303" s="28"/>
    </row>
    <row r="304" spans="3:11" s="27" customFormat="1" ht="11.25" customHeight="1">
      <c r="C304" s="33"/>
      <c r="D304" s="33"/>
      <c r="E304" s="33"/>
      <c r="F304" s="33"/>
      <c r="J304" s="28"/>
      <c r="K304" s="28"/>
    </row>
    <row r="305" spans="3:11" s="27" customFormat="1" ht="11.25" customHeight="1">
      <c r="C305" s="33"/>
      <c r="D305" s="33"/>
      <c r="E305" s="33"/>
      <c r="F305" s="33"/>
      <c r="J305" s="28"/>
      <c r="K305" s="28"/>
    </row>
    <row r="306" spans="3:11" s="27" customFormat="1" ht="11.25" customHeight="1">
      <c r="C306" s="33"/>
      <c r="D306" s="33"/>
      <c r="E306" s="33"/>
      <c r="F306" s="33"/>
      <c r="J306" s="28"/>
      <c r="K306" s="28"/>
    </row>
    <row r="307" spans="3:11" s="27" customFormat="1" ht="11.25" customHeight="1">
      <c r="C307" s="33"/>
      <c r="D307" s="33"/>
      <c r="E307" s="33"/>
      <c r="F307" s="33"/>
      <c r="J307" s="28"/>
      <c r="K307" s="28"/>
    </row>
    <row r="308" spans="3:11" s="27" customFormat="1" ht="11.25" customHeight="1">
      <c r="C308" s="33"/>
      <c r="D308" s="33"/>
      <c r="E308" s="33"/>
      <c r="F308" s="33"/>
      <c r="J308" s="28"/>
      <c r="K308" s="28"/>
    </row>
    <row r="309" spans="3:11" s="27" customFormat="1" ht="11.25" customHeight="1">
      <c r="C309" s="33"/>
      <c r="D309" s="33"/>
      <c r="E309" s="33"/>
      <c r="F309" s="33"/>
      <c r="J309" s="28"/>
      <c r="K309" s="28"/>
    </row>
    <row r="310" spans="3:11" s="27" customFormat="1" ht="11.25" customHeight="1">
      <c r="C310" s="33"/>
      <c r="D310" s="33"/>
      <c r="E310" s="33"/>
      <c r="F310" s="33"/>
      <c r="J310" s="28"/>
      <c r="K310" s="28"/>
    </row>
    <row r="311" spans="3:11" s="27" customFormat="1" ht="11.25" customHeight="1">
      <c r="C311" s="33"/>
      <c r="D311" s="33"/>
      <c r="E311" s="33"/>
      <c r="F311" s="33"/>
      <c r="J311" s="28"/>
      <c r="K311" s="28"/>
    </row>
    <row r="312" spans="3:11" s="27" customFormat="1" ht="11.25" customHeight="1">
      <c r="C312" s="33"/>
      <c r="D312" s="33"/>
      <c r="E312" s="33"/>
      <c r="F312" s="33"/>
      <c r="J312" s="28"/>
      <c r="K312" s="28"/>
    </row>
    <row r="313" spans="3:11" s="27" customFormat="1" ht="11.25" customHeight="1">
      <c r="C313" s="33"/>
      <c r="D313" s="33"/>
      <c r="E313" s="33"/>
      <c r="F313" s="33"/>
      <c r="J313" s="28"/>
      <c r="K313" s="28"/>
    </row>
    <row r="314" spans="3:11" s="27" customFormat="1" ht="11.25" customHeight="1">
      <c r="C314" s="33"/>
      <c r="D314" s="33"/>
      <c r="E314" s="33"/>
      <c r="F314" s="33"/>
      <c r="J314" s="28"/>
      <c r="K314" s="28"/>
    </row>
    <row r="315" spans="3:11" s="27" customFormat="1" ht="11.25" customHeight="1">
      <c r="C315" s="33"/>
      <c r="D315" s="33"/>
      <c r="E315" s="33"/>
      <c r="F315" s="33"/>
      <c r="J315" s="28"/>
      <c r="K315" s="28"/>
    </row>
    <row r="316" spans="3:11" s="27" customFormat="1" ht="11.25" customHeight="1">
      <c r="C316" s="33"/>
      <c r="D316" s="33"/>
      <c r="E316" s="33"/>
      <c r="F316" s="33"/>
      <c r="J316" s="28"/>
      <c r="K316" s="28"/>
    </row>
    <row r="317" spans="3:11" s="27" customFormat="1" ht="11.25" customHeight="1">
      <c r="C317" s="33"/>
      <c r="D317" s="33"/>
      <c r="E317" s="33"/>
      <c r="F317" s="33"/>
      <c r="J317" s="28"/>
      <c r="K317" s="28"/>
    </row>
    <row r="318" spans="3:11" s="27" customFormat="1" ht="11.25" customHeight="1">
      <c r="C318" s="33"/>
      <c r="D318" s="33"/>
      <c r="E318" s="33"/>
      <c r="F318" s="33"/>
      <c r="J318" s="28"/>
      <c r="K318" s="28"/>
    </row>
    <row r="319" spans="3:11" s="27" customFormat="1" ht="11.25" customHeight="1">
      <c r="C319" s="33"/>
      <c r="D319" s="33"/>
      <c r="E319" s="33"/>
      <c r="F319" s="33"/>
      <c r="J319" s="28"/>
      <c r="K319" s="28"/>
    </row>
    <row r="320" spans="3:11" s="27" customFormat="1" ht="11.25" customHeight="1">
      <c r="C320" s="33"/>
      <c r="D320" s="33"/>
      <c r="E320" s="33"/>
      <c r="F320" s="33"/>
      <c r="J320" s="28"/>
      <c r="K320" s="28"/>
    </row>
    <row r="321" spans="3:11" s="27" customFormat="1" ht="11.25" customHeight="1">
      <c r="C321" s="33"/>
      <c r="D321" s="33"/>
      <c r="E321" s="33"/>
      <c r="F321" s="33"/>
      <c r="J321" s="28"/>
      <c r="K321" s="28"/>
    </row>
    <row r="322" spans="3:11" s="27" customFormat="1" ht="11.25" customHeight="1">
      <c r="C322" s="33"/>
      <c r="D322" s="33"/>
      <c r="E322" s="33"/>
      <c r="F322" s="33"/>
      <c r="J322" s="28"/>
      <c r="K322" s="28"/>
    </row>
    <row r="323" spans="3:11" s="27" customFormat="1" ht="11.25" customHeight="1">
      <c r="C323" s="33"/>
      <c r="D323" s="33"/>
      <c r="E323" s="33"/>
      <c r="F323" s="33"/>
      <c r="J323" s="28"/>
      <c r="K323" s="28"/>
    </row>
    <row r="324" spans="3:11" s="27" customFormat="1" ht="11.25" customHeight="1">
      <c r="C324" s="33"/>
      <c r="D324" s="33"/>
      <c r="E324" s="33"/>
      <c r="F324" s="33"/>
      <c r="J324" s="28"/>
      <c r="K324" s="28"/>
    </row>
    <row r="325" spans="3:11" s="27" customFormat="1" ht="11.25" customHeight="1">
      <c r="C325" s="33"/>
      <c r="D325" s="33"/>
      <c r="E325" s="33"/>
      <c r="F325" s="33"/>
      <c r="J325" s="28"/>
      <c r="K325" s="28"/>
    </row>
    <row r="326" spans="3:11" s="27" customFormat="1" ht="11.25" customHeight="1">
      <c r="C326" s="33"/>
      <c r="D326" s="33"/>
      <c r="E326" s="33"/>
      <c r="F326" s="33"/>
      <c r="J326" s="28"/>
      <c r="K326" s="28"/>
    </row>
    <row r="327" spans="3:11" s="27" customFormat="1" ht="11.25" customHeight="1">
      <c r="C327" s="33"/>
      <c r="D327" s="33"/>
      <c r="E327" s="33"/>
      <c r="F327" s="33"/>
      <c r="J327" s="28"/>
      <c r="K327" s="28"/>
    </row>
    <row r="328" spans="3:11" s="27" customFormat="1" ht="11.25" customHeight="1">
      <c r="C328" s="33"/>
      <c r="D328" s="33"/>
      <c r="E328" s="33"/>
      <c r="F328" s="33"/>
      <c r="J328" s="28"/>
      <c r="K328" s="28"/>
    </row>
    <row r="329" spans="3:11" s="27" customFormat="1" ht="11.25" customHeight="1">
      <c r="C329" s="33"/>
      <c r="D329" s="33"/>
      <c r="E329" s="33"/>
      <c r="F329" s="33"/>
      <c r="J329" s="28"/>
      <c r="K329" s="28"/>
    </row>
    <row r="330" spans="3:11" s="27" customFormat="1" ht="11.25" customHeight="1">
      <c r="C330" s="33"/>
      <c r="D330" s="33"/>
      <c r="E330" s="33"/>
      <c r="F330" s="33"/>
      <c r="J330" s="28"/>
      <c r="K330" s="28"/>
    </row>
    <row r="331" spans="3:11" s="27" customFormat="1" ht="11.25" customHeight="1">
      <c r="C331" s="33"/>
      <c r="D331" s="33"/>
      <c r="E331" s="33"/>
      <c r="F331" s="33"/>
      <c r="J331" s="28"/>
      <c r="K331" s="28"/>
    </row>
    <row r="332" spans="3:11" s="27" customFormat="1" ht="11.25" customHeight="1">
      <c r="C332" s="33"/>
      <c r="D332" s="33"/>
      <c r="E332" s="33"/>
      <c r="F332" s="33"/>
      <c r="J332" s="28"/>
      <c r="K332" s="28"/>
    </row>
    <row r="333" spans="3:11" s="27" customFormat="1" ht="11.25" customHeight="1">
      <c r="C333" s="33"/>
      <c r="D333" s="33"/>
      <c r="E333" s="33"/>
      <c r="F333" s="33"/>
      <c r="J333" s="28"/>
      <c r="K333" s="28"/>
    </row>
    <row r="334" spans="3:11" s="27" customFormat="1" ht="11.25" customHeight="1">
      <c r="C334" s="33"/>
      <c r="D334" s="33"/>
      <c r="E334" s="33"/>
      <c r="F334" s="33"/>
      <c r="J334" s="28"/>
      <c r="K334" s="28"/>
    </row>
    <row r="335" spans="3:11" s="27" customFormat="1" ht="11.25" customHeight="1">
      <c r="C335" s="33"/>
      <c r="D335" s="33"/>
      <c r="E335" s="33"/>
      <c r="F335" s="33"/>
      <c r="J335" s="28"/>
      <c r="K335" s="28"/>
    </row>
    <row r="336" spans="3:11" s="27" customFormat="1" ht="11.25" customHeight="1">
      <c r="C336" s="33"/>
      <c r="D336" s="33"/>
      <c r="E336" s="33"/>
      <c r="F336" s="33"/>
      <c r="J336" s="28"/>
      <c r="K336" s="28"/>
    </row>
    <row r="337" spans="3:11" s="27" customFormat="1" ht="11.25" customHeight="1">
      <c r="C337" s="33"/>
      <c r="D337" s="33"/>
      <c r="E337" s="33"/>
      <c r="F337" s="33"/>
      <c r="J337" s="28"/>
      <c r="K337" s="28"/>
    </row>
    <row r="338" spans="3:11" s="27" customFormat="1" ht="11.25" customHeight="1">
      <c r="C338" s="33"/>
      <c r="D338" s="33"/>
      <c r="E338" s="33"/>
      <c r="F338" s="33"/>
      <c r="J338" s="28"/>
      <c r="K338" s="28"/>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heet="1" objects="1" scenarios="1" selectLockedCells="1"/>
  <mergeCells count="183">
    <mergeCell ref="G93:G94"/>
    <mergeCell ref="D78:D79"/>
    <mergeCell ref="G85:G86"/>
    <mergeCell ref="F80:G81"/>
    <mergeCell ref="C83:R84"/>
    <mergeCell ref="G95:G96"/>
    <mergeCell ref="D80:D81"/>
    <mergeCell ref="G91:G92"/>
    <mergeCell ref="L89:M90"/>
    <mergeCell ref="J93:J94"/>
    <mergeCell ref="C48:R49"/>
    <mergeCell ref="G87:G88"/>
    <mergeCell ref="G89:G90"/>
    <mergeCell ref="D66:D67"/>
    <mergeCell ref="D68:D69"/>
    <mergeCell ref="D70:D71"/>
    <mergeCell ref="D72:D73"/>
    <mergeCell ref="D74:D75"/>
    <mergeCell ref="D76:D77"/>
    <mergeCell ref="D54:D55"/>
    <mergeCell ref="D56:D57"/>
    <mergeCell ref="C13:R14"/>
    <mergeCell ref="A43:A44"/>
    <mergeCell ref="A45:A46"/>
    <mergeCell ref="F70:F71"/>
    <mergeCell ref="G78:G79"/>
    <mergeCell ref="D58:D59"/>
    <mergeCell ref="D60:D61"/>
    <mergeCell ref="D62:D63"/>
    <mergeCell ref="D64:D65"/>
    <mergeCell ref="A35:A36"/>
    <mergeCell ref="A37:A38"/>
    <mergeCell ref="D39:D40"/>
    <mergeCell ref="D41:D42"/>
    <mergeCell ref="A39:A40"/>
    <mergeCell ref="A41:A42"/>
    <mergeCell ref="A15:A16"/>
    <mergeCell ref="A17:A18"/>
    <mergeCell ref="A19:A20"/>
    <mergeCell ref="A21:A22"/>
    <mergeCell ref="D50:D51"/>
    <mergeCell ref="D52:D53"/>
    <mergeCell ref="A27:A28"/>
    <mergeCell ref="A29:A30"/>
    <mergeCell ref="A31:A32"/>
    <mergeCell ref="A33:A34"/>
    <mergeCell ref="A23:A24"/>
    <mergeCell ref="A25:A26"/>
    <mergeCell ref="H18:J19"/>
    <mergeCell ref="H52:J53"/>
    <mergeCell ref="D35:D36"/>
    <mergeCell ref="D37:D38"/>
    <mergeCell ref="G50:G51"/>
    <mergeCell ref="C45:C46"/>
    <mergeCell ref="C39:C40"/>
    <mergeCell ref="F50:F51"/>
    <mergeCell ref="K38:M39"/>
    <mergeCell ref="K56:M57"/>
    <mergeCell ref="K72:M73"/>
    <mergeCell ref="C102:E102"/>
    <mergeCell ref="C105:E105"/>
    <mergeCell ref="J102:M102"/>
    <mergeCell ref="J105:M105"/>
    <mergeCell ref="G103:I103"/>
    <mergeCell ref="F60:G61"/>
    <mergeCell ref="F76:G77"/>
    <mergeCell ref="I78:J79"/>
    <mergeCell ref="I85:I86"/>
    <mergeCell ref="H76:J77"/>
    <mergeCell ref="F72:G73"/>
    <mergeCell ref="F74:F75"/>
    <mergeCell ref="G74:G75"/>
    <mergeCell ref="F78:F79"/>
    <mergeCell ref="F46:G47"/>
    <mergeCell ref="E40:G41"/>
    <mergeCell ref="E44:G45"/>
    <mergeCell ref="F54:F55"/>
    <mergeCell ref="F62:F63"/>
    <mergeCell ref="F64:G65"/>
    <mergeCell ref="G54:G55"/>
    <mergeCell ref="G58:G59"/>
    <mergeCell ref="F58:F59"/>
    <mergeCell ref="G62:G63"/>
    <mergeCell ref="L97:M98"/>
    <mergeCell ref="I89:I90"/>
    <mergeCell ref="I87:J88"/>
    <mergeCell ref="H60:J61"/>
    <mergeCell ref="H68:J69"/>
    <mergeCell ref="F68:G69"/>
    <mergeCell ref="I62:J63"/>
    <mergeCell ref="F66:F67"/>
    <mergeCell ref="G70:G71"/>
    <mergeCell ref="G66:G67"/>
    <mergeCell ref="N64:P65"/>
    <mergeCell ref="K87:M88"/>
    <mergeCell ref="J89:J90"/>
    <mergeCell ref="F18:G19"/>
    <mergeCell ref="F22:G23"/>
    <mergeCell ref="F26:G27"/>
    <mergeCell ref="F30:G31"/>
    <mergeCell ref="J85:J86"/>
    <mergeCell ref="F56:G57"/>
    <mergeCell ref="E24:G25"/>
    <mergeCell ref="F52:G53"/>
    <mergeCell ref="L58:M59"/>
    <mergeCell ref="L74:M75"/>
    <mergeCell ref="I54:J55"/>
    <mergeCell ref="I70:J71"/>
    <mergeCell ref="O93:P94"/>
    <mergeCell ref="N91:P92"/>
    <mergeCell ref="I91:J92"/>
    <mergeCell ref="I93:I94"/>
    <mergeCell ref="O66:P67"/>
    <mergeCell ref="I95:J96"/>
    <mergeCell ref="G106:I106"/>
    <mergeCell ref="I99:J100"/>
    <mergeCell ref="J97:J98"/>
    <mergeCell ref="J103:M103"/>
    <mergeCell ref="J106:M106"/>
    <mergeCell ref="G97:G98"/>
    <mergeCell ref="G102:I102"/>
    <mergeCell ref="I97:I98"/>
    <mergeCell ref="K95:M96"/>
    <mergeCell ref="N30:P31"/>
    <mergeCell ref="C15:C16"/>
    <mergeCell ref="O32:P33"/>
    <mergeCell ref="L40:M41"/>
    <mergeCell ref="I36:J37"/>
    <mergeCell ref="I44:J45"/>
    <mergeCell ref="H34:J35"/>
    <mergeCell ref="H42:J43"/>
    <mergeCell ref="E16:G17"/>
    <mergeCell ref="E20:G21"/>
    <mergeCell ref="D43:D44"/>
    <mergeCell ref="D45:D46"/>
    <mergeCell ref="F38:G39"/>
    <mergeCell ref="F42:G43"/>
    <mergeCell ref="C1:R1"/>
    <mergeCell ref="C3:P3"/>
    <mergeCell ref="C29:C30"/>
    <mergeCell ref="C31:C32"/>
    <mergeCell ref="C27:C28"/>
    <mergeCell ref="Q31:Q32"/>
    <mergeCell ref="C2:R2"/>
    <mergeCell ref="C5:R5"/>
    <mergeCell ref="C6:R6"/>
    <mergeCell ref="J10:M10"/>
    <mergeCell ref="L12:M12"/>
    <mergeCell ref="Q12:R12"/>
    <mergeCell ref="C8:R8"/>
    <mergeCell ref="C12:D12"/>
    <mergeCell ref="F12:G12"/>
    <mergeCell ref="I12:J12"/>
    <mergeCell ref="O12:P12"/>
    <mergeCell ref="C23:C24"/>
    <mergeCell ref="C19:C20"/>
    <mergeCell ref="D15:D16"/>
    <mergeCell ref="D17:D18"/>
    <mergeCell ref="D19:D20"/>
    <mergeCell ref="C21:C22"/>
    <mergeCell ref="C17:C18"/>
    <mergeCell ref="I20:J21"/>
    <mergeCell ref="K22:M23"/>
    <mergeCell ref="H26:J27"/>
    <mergeCell ref="C25:C26"/>
    <mergeCell ref="E32:G33"/>
    <mergeCell ref="L24:M25"/>
    <mergeCell ref="E28:G29"/>
    <mergeCell ref="D31:D32"/>
    <mergeCell ref="D33:D34"/>
    <mergeCell ref="D27:D28"/>
    <mergeCell ref="D29:D30"/>
    <mergeCell ref="I28:J29"/>
    <mergeCell ref="E36:G37"/>
    <mergeCell ref="F34:G35"/>
    <mergeCell ref="D21:D22"/>
    <mergeCell ref="D23:D24"/>
    <mergeCell ref="D25:D26"/>
    <mergeCell ref="C43:C44"/>
    <mergeCell ref="C41:C42"/>
    <mergeCell ref="C33:C34"/>
    <mergeCell ref="C35:C36"/>
    <mergeCell ref="C37:C38"/>
  </mergeCells>
  <conditionalFormatting sqref="E18 E22 H20 N93 E30 E26 E38 E34 E46 H44 H36 H28 K24 N32 K40 H54 H62 H70 H78 K74 K58 N66 K89 K97 E42">
    <cfRule type="cellIs" priority="1" dxfId="53" operator="notEqual" stopIfTrue="1">
      <formula>0</formula>
    </cfRule>
  </conditionalFormatting>
  <conditionalFormatting sqref="A15:A46 D54:D55 D50:D51 D74:D75 D62:D63 D58:D59 D66:D67 D70:D71 D78:D79 G89:G90 G85:G86 G97:G98 G93:G94">
    <cfRule type="expression" priority="2" dxfId="58" stopIfTrue="1">
      <formula>$A$121=FALSE</formula>
    </cfRule>
  </conditionalFormatting>
  <conditionalFormatting sqref="C17:C46">
    <cfRule type="expression" priority="3" dxfId="57" stopIfTrue="1">
      <formula>LEFT($C17,3)="пр."</formula>
    </cfRule>
  </conditionalFormatting>
  <conditionalFormatting sqref="E44:G45 E40:G41 E24:G25 E28:G29 E32:G33 E36:G37">
    <cfRule type="expression" priority="4" dxfId="57" stopIfTrue="1">
      <formula>LEFT($E24,3)="пр."</formula>
    </cfRule>
  </conditionalFormatting>
  <conditionalFormatting sqref="F78:F79 F54:F55 F58:F59 F62:F63 F66:F67 F70:F71 F74:F75 F50">
    <cfRule type="expression" priority="5" dxfId="57" stopIfTrue="1">
      <formula>LEFT($F50,3)="пр."</formula>
    </cfRule>
  </conditionalFormatting>
  <conditionalFormatting sqref="I85:I86 I89:I90 I93:I94 I97:I98">
    <cfRule type="expression" priority="6" dxfId="57" stopIfTrue="1">
      <formula>LEFT($I85,3)="пр."</formula>
    </cfRule>
  </conditionalFormatting>
  <conditionalFormatting sqref="C15:C16">
    <cfRule type="expression" priority="7" dxfId="57" stopIfTrue="1">
      <formula>LEFT($C15,3)="пр."</formula>
    </cfRule>
  </conditionalFormatting>
  <conditionalFormatting sqref="E16:G17 E20:G21">
    <cfRule type="expression" priority="8" dxfId="57" stopIfTrue="1">
      <formula>LEFT($E16,3)="пр."</formula>
    </cfRule>
  </conditionalFormatting>
  <conditionalFormatting sqref="H18:J19 H26:J27 H34:J35 H42:J43 K22:M23 K38:M39 N30:P31 H52:J53 H60:J61 H68:J69 H76:J77 K56:M57 K72:M73 N64:P65 K87:M88 K95:M96 N91:P92">
    <cfRule type="expression" priority="9" dxfId="57"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drawing r:id="rId2"/>
  <legacyDrawing r:id="rId1"/>
</worksheet>
</file>

<file path=xl/worksheets/sheet11.xml><?xml version="1.0" encoding="utf-8"?>
<worksheet xmlns="http://schemas.openxmlformats.org/spreadsheetml/2006/main" xmlns:r="http://schemas.openxmlformats.org/officeDocument/2006/relationships">
  <sheetPr codeName="Лист3">
    <pageSetUpPr fitToPage="1"/>
  </sheetPr>
  <dimension ref="A1:O286"/>
  <sheetViews>
    <sheetView showGridLines="0" showRowColHeaders="0" zoomScale="115" zoomScaleNormal="115" zoomScalePageLayoutView="0" workbookViewId="0" topLeftCell="A1">
      <pane ySplit="11" topLeftCell="A12" activePane="bottomLeft" state="frozen"/>
      <selection pane="topLeft" activeCell="A5" sqref="A5:R5"/>
      <selection pane="bottomLeft" activeCell="B12" sqref="B12"/>
    </sheetView>
  </sheetViews>
  <sheetFormatPr defaultColWidth="9.00390625" defaultRowHeight="12.75"/>
  <cols>
    <col min="1" max="1" width="3.125" style="0" customWidth="1"/>
    <col min="2" max="2" width="13.875" style="0" customWidth="1"/>
    <col min="3" max="3" width="22.25390625" style="0" customWidth="1"/>
    <col min="4" max="4" width="16.00390625" style="44" customWidth="1"/>
    <col min="5" max="5" width="13.75390625" style="44" customWidth="1"/>
    <col min="6" max="6" width="9.25390625" style="44" customWidth="1"/>
    <col min="7" max="7" width="9.875" style="44" customWidth="1"/>
    <col min="8" max="8" width="11.125" style="44" customWidth="1"/>
    <col min="9" max="10" width="3.00390625" style="0" hidden="1" customWidth="1"/>
    <col min="11" max="11" width="3.375" style="0" hidden="1" customWidth="1"/>
    <col min="12" max="12" width="3.00390625" style="0" hidden="1" customWidth="1"/>
    <col min="13" max="13" width="3.375" style="0" hidden="1" customWidth="1"/>
    <col min="14" max="14" width="16.75390625" style="0" hidden="1" customWidth="1"/>
    <col min="15" max="15" width="9.125" style="0" hidden="1" customWidth="1"/>
  </cols>
  <sheetData>
    <row r="1" ht="12.75" hidden="1">
      <c r="H1" s="45" t="s">
        <v>30</v>
      </c>
    </row>
    <row r="2" ht="12.75" hidden="1"/>
    <row r="3" spans="1:8" ht="12.75">
      <c r="A3" s="543" t="s">
        <v>31</v>
      </c>
      <c r="B3" s="543"/>
      <c r="C3" s="543"/>
      <c r="D3" s="543"/>
      <c r="E3" s="543"/>
      <c r="F3" s="543"/>
      <c r="G3" s="543"/>
      <c r="H3" s="543"/>
    </row>
    <row r="4" spans="1:8" ht="15">
      <c r="A4" s="6"/>
      <c r="B4" s="6"/>
      <c r="C4" s="737" t="str">
        <f>UPPER(Установка!C3)</f>
        <v>"КУБОК ЮЖНОГО УРАЛА"</v>
      </c>
      <c r="D4" s="737"/>
      <c r="E4" s="737"/>
      <c r="F4" s="737"/>
      <c r="G4" s="737"/>
      <c r="H4" s="46"/>
    </row>
    <row r="5" spans="3:8" s="55" customFormat="1" ht="12.75">
      <c r="C5" s="545"/>
      <c r="D5" s="545"/>
      <c r="E5" s="545"/>
      <c r="F5" s="545"/>
      <c r="G5" s="545"/>
      <c r="H5" s="56"/>
    </row>
    <row r="6" spans="4:8" s="325" customFormat="1" ht="12">
      <c r="D6" s="326" t="s">
        <v>32</v>
      </c>
      <c r="E6" s="739" t="str">
        <f>UPPER(Установка!C4)</f>
        <v>ДО 15 ЛЕТ</v>
      </c>
      <c r="F6" s="739"/>
      <c r="G6" s="326"/>
      <c r="H6" s="327" t="str">
        <f>IF(Установка!$C$5="","Ю/Д/М/Ж",UPPER(Установка!$C$5))</f>
        <v>ЮНОШИ</v>
      </c>
    </row>
    <row r="7" spans="1:8" s="328" customFormat="1" ht="12">
      <c r="A7" s="744" t="s">
        <v>4</v>
      </c>
      <c r="B7" s="744"/>
      <c r="C7" s="534" t="str">
        <f>UPPER(Установка!C6)</f>
        <v>Г.ЧЕЛЯБИНСК</v>
      </c>
      <c r="D7" s="329" t="s">
        <v>0</v>
      </c>
      <c r="E7" s="330" t="str">
        <f>UPPER(Установка!C7)</f>
        <v>30.04.16-06.05.16</v>
      </c>
      <c r="G7" s="331" t="s">
        <v>29</v>
      </c>
      <c r="H7" s="330" t="str">
        <f>UPPER(Установка!C8)</f>
        <v>IVБ</v>
      </c>
    </row>
    <row r="8" spans="1:6" s="319" customFormat="1" ht="8.25" customHeight="1">
      <c r="A8" s="670"/>
      <c r="B8" s="670"/>
      <c r="C8" s="670"/>
      <c r="D8" s="317"/>
      <c r="F8" s="318"/>
    </row>
    <row r="9" ht="6.75" customHeight="1">
      <c r="C9" s="105"/>
    </row>
    <row r="10" spans="1:8" ht="36" customHeight="1">
      <c r="A10" s="738" t="s">
        <v>17</v>
      </c>
      <c r="B10" s="740" t="s">
        <v>93</v>
      </c>
      <c r="C10" s="741"/>
      <c r="D10" s="738" t="s">
        <v>35</v>
      </c>
      <c r="E10" s="738" t="s">
        <v>39</v>
      </c>
      <c r="F10" s="738" t="s">
        <v>36</v>
      </c>
      <c r="G10" s="47" t="s">
        <v>37</v>
      </c>
      <c r="H10" s="738" t="s">
        <v>40</v>
      </c>
    </row>
    <row r="11" spans="1:8" s="44" customFormat="1" ht="10.5" customHeight="1">
      <c r="A11" s="738"/>
      <c r="B11" s="742"/>
      <c r="C11" s="743"/>
      <c r="D11" s="738"/>
      <c r="E11" s="738"/>
      <c r="F11" s="738"/>
      <c r="G11" s="62">
        <f>Установка!C10</f>
        <v>42461</v>
      </c>
      <c r="H11" s="738"/>
    </row>
    <row r="12" spans="1:15" s="48" customFormat="1" ht="12.75" customHeight="1">
      <c r="A12" s="320">
        <v>1</v>
      </c>
      <c r="B12" s="321"/>
      <c r="C12" s="393"/>
      <c r="D12" s="322"/>
      <c r="E12" s="323"/>
      <c r="F12" s="323"/>
      <c r="G12" s="323"/>
      <c r="H12" s="323"/>
      <c r="I12" s="309">
        <f>LEN(B12)</f>
        <v>0</v>
      </c>
      <c r="J12" s="309">
        <f>IF((I12)=0,0,FIND(" ",B12))</f>
        <v>0</v>
      </c>
      <c r="K12" s="309">
        <f>IF(OR(ISERR(J12),I12=0),"",CONCATENATE(MID(B12,J12+1,1),"."))</f>
      </c>
      <c r="L12" s="309">
        <f>IF(LEN(B12)=0,0,FIND(" ",B12,J12+1))</f>
        <v>0</v>
      </c>
      <c r="M12" s="309">
        <f>IF(OR(I12=0,ISERR(L12)),"",CONCATENATE(MID(B12,L12+1,1),"."))</f>
      </c>
      <c r="N12" s="309">
        <f>IF(B12="","",IF(ISERR(J12),UPPER(B12),UPPER(MID(B12,1,J12-1))))</f>
      </c>
      <c r="O12" s="309">
        <f>CONCATENATE(K12,M12)</f>
      </c>
    </row>
    <row r="13" spans="1:15" s="48" customFormat="1" ht="12.75">
      <c r="A13" s="320">
        <v>2</v>
      </c>
      <c r="B13" s="321"/>
      <c r="C13" s="393"/>
      <c r="D13" s="322"/>
      <c r="E13" s="324"/>
      <c r="F13" s="324"/>
      <c r="G13" s="324"/>
      <c r="H13" s="324"/>
      <c r="I13" s="309">
        <f aca="true" t="shared" si="0" ref="I13:I75">LEN(B13)</f>
        <v>0</v>
      </c>
      <c r="J13" s="309">
        <f aca="true" t="shared" si="1" ref="J13:J75">IF((I13)=0,0,FIND(" ",B13))</f>
        <v>0</v>
      </c>
      <c r="K13" s="309">
        <f aca="true" t="shared" si="2" ref="K13:K75">IF(OR(ISERR(J13),I13=0),"",CONCATENATE(MID(B13,J13+1,1),"."))</f>
      </c>
      <c r="L13" s="309">
        <f aca="true" t="shared" si="3" ref="L13:L75">IF(LEN(B13)=0,0,FIND(" ",B13,J13+1))</f>
        <v>0</v>
      </c>
      <c r="M13" s="309">
        <f aca="true" t="shared" si="4" ref="M13:M75">IF(OR(I13=0,ISERR(L13)),"",CONCATENATE(MID(B13,L13+1,1),"."))</f>
      </c>
      <c r="N13" s="309">
        <f aca="true" t="shared" si="5" ref="N13:N75">IF(B13="","",IF(ISERR(J13),UPPER(B13),UPPER(MID(B13,1,J13-1))))</f>
      </c>
      <c r="O13" s="309">
        <f aca="true" t="shared" si="6" ref="O13:O75">CONCATENATE(K13,M13)</f>
      </c>
    </row>
    <row r="14" spans="1:15" s="48" customFormat="1" ht="12.75">
      <c r="A14" s="320">
        <v>3</v>
      </c>
      <c r="B14" s="321"/>
      <c r="C14" s="393"/>
      <c r="D14" s="322"/>
      <c r="E14" s="324"/>
      <c r="F14" s="324"/>
      <c r="G14" s="324"/>
      <c r="H14" s="324"/>
      <c r="I14" s="309">
        <f t="shared" si="0"/>
        <v>0</v>
      </c>
      <c r="J14" s="309">
        <f t="shared" si="1"/>
        <v>0</v>
      </c>
      <c r="K14" s="309">
        <f t="shared" si="2"/>
      </c>
      <c r="L14" s="309">
        <f t="shared" si="3"/>
        <v>0</v>
      </c>
      <c r="M14" s="309">
        <f t="shared" si="4"/>
      </c>
      <c r="N14" s="309">
        <f t="shared" si="5"/>
      </c>
      <c r="O14" s="309">
        <f t="shared" si="6"/>
      </c>
    </row>
    <row r="15" spans="1:15" s="48" customFormat="1" ht="12.75">
      <c r="A15" s="320">
        <v>4</v>
      </c>
      <c r="B15" s="321"/>
      <c r="C15" s="393"/>
      <c r="D15" s="322"/>
      <c r="E15" s="323"/>
      <c r="F15" s="323"/>
      <c r="G15" s="323"/>
      <c r="H15" s="323"/>
      <c r="I15" s="309">
        <f t="shared" si="0"/>
        <v>0</v>
      </c>
      <c r="J15" s="309">
        <f t="shared" si="1"/>
        <v>0</v>
      </c>
      <c r="K15" s="309">
        <f t="shared" si="2"/>
      </c>
      <c r="L15" s="309">
        <f t="shared" si="3"/>
        <v>0</v>
      </c>
      <c r="M15" s="309">
        <f t="shared" si="4"/>
      </c>
      <c r="N15" s="309">
        <f t="shared" si="5"/>
      </c>
      <c r="O15" s="309">
        <f t="shared" si="6"/>
      </c>
    </row>
    <row r="16" spans="1:15" s="48" customFormat="1" ht="12.75">
      <c r="A16" s="320">
        <v>5</v>
      </c>
      <c r="B16" s="321"/>
      <c r="C16" s="393"/>
      <c r="D16" s="322"/>
      <c r="E16" s="323"/>
      <c r="F16" s="323"/>
      <c r="G16" s="323"/>
      <c r="H16" s="323"/>
      <c r="I16" s="309">
        <f t="shared" si="0"/>
        <v>0</v>
      </c>
      <c r="J16" s="309">
        <f t="shared" si="1"/>
        <v>0</v>
      </c>
      <c r="K16" s="309">
        <f t="shared" si="2"/>
      </c>
      <c r="L16" s="309">
        <f t="shared" si="3"/>
        <v>0</v>
      </c>
      <c r="M16" s="309">
        <f t="shared" si="4"/>
      </c>
      <c r="N16" s="309">
        <f t="shared" si="5"/>
      </c>
      <c r="O16" s="309">
        <f t="shared" si="6"/>
      </c>
    </row>
    <row r="17" spans="1:15" s="48" customFormat="1" ht="12.75">
      <c r="A17" s="320">
        <v>6</v>
      </c>
      <c r="B17" s="321"/>
      <c r="C17" s="393"/>
      <c r="D17" s="322"/>
      <c r="E17" s="323"/>
      <c r="F17" s="323"/>
      <c r="G17" s="323"/>
      <c r="H17" s="323"/>
      <c r="I17" s="309">
        <f t="shared" si="0"/>
        <v>0</v>
      </c>
      <c r="J17" s="309">
        <f t="shared" si="1"/>
        <v>0</v>
      </c>
      <c r="K17" s="309">
        <f t="shared" si="2"/>
      </c>
      <c r="L17" s="309">
        <f t="shared" si="3"/>
        <v>0</v>
      </c>
      <c r="M17" s="309">
        <f t="shared" si="4"/>
      </c>
      <c r="N17" s="309">
        <f t="shared" si="5"/>
      </c>
      <c r="O17" s="309">
        <f t="shared" si="6"/>
      </c>
    </row>
    <row r="18" spans="1:15" s="48" customFormat="1" ht="12.75">
      <c r="A18" s="320">
        <v>7</v>
      </c>
      <c r="B18" s="321"/>
      <c r="C18" s="393"/>
      <c r="D18" s="322"/>
      <c r="E18" s="324"/>
      <c r="F18" s="324"/>
      <c r="G18" s="324"/>
      <c r="H18" s="324"/>
      <c r="I18" s="309">
        <f t="shared" si="0"/>
        <v>0</v>
      </c>
      <c r="J18" s="309">
        <f t="shared" si="1"/>
        <v>0</v>
      </c>
      <c r="K18" s="309">
        <f t="shared" si="2"/>
      </c>
      <c r="L18" s="309">
        <f t="shared" si="3"/>
        <v>0</v>
      </c>
      <c r="M18" s="309">
        <f t="shared" si="4"/>
      </c>
      <c r="N18" s="309">
        <f t="shared" si="5"/>
      </c>
      <c r="O18" s="309">
        <f t="shared" si="6"/>
      </c>
    </row>
    <row r="19" spans="1:15" s="48" customFormat="1" ht="12.75">
      <c r="A19" s="320">
        <v>8</v>
      </c>
      <c r="B19" s="321"/>
      <c r="C19" s="393"/>
      <c r="D19" s="322"/>
      <c r="E19" s="323"/>
      <c r="F19" s="323"/>
      <c r="G19" s="323"/>
      <c r="H19" s="323"/>
      <c r="I19" s="309">
        <f t="shared" si="0"/>
        <v>0</v>
      </c>
      <c r="J19" s="309">
        <f t="shared" si="1"/>
        <v>0</v>
      </c>
      <c r="K19" s="309">
        <f t="shared" si="2"/>
      </c>
      <c r="L19" s="309">
        <f t="shared" si="3"/>
        <v>0</v>
      </c>
      <c r="M19" s="309">
        <f t="shared" si="4"/>
      </c>
      <c r="N19" s="309">
        <f t="shared" si="5"/>
      </c>
      <c r="O19" s="309">
        <f t="shared" si="6"/>
      </c>
    </row>
    <row r="20" spans="1:15" s="48" customFormat="1" ht="12.75">
      <c r="A20" s="320">
        <v>9</v>
      </c>
      <c r="B20" s="321"/>
      <c r="C20" s="393"/>
      <c r="D20" s="322"/>
      <c r="E20" s="324"/>
      <c r="F20" s="324"/>
      <c r="G20" s="324"/>
      <c r="H20" s="324"/>
      <c r="I20" s="309">
        <f t="shared" si="0"/>
        <v>0</v>
      </c>
      <c r="J20" s="309">
        <f t="shared" si="1"/>
        <v>0</v>
      </c>
      <c r="K20" s="309">
        <f t="shared" si="2"/>
      </c>
      <c r="L20" s="309">
        <f t="shared" si="3"/>
        <v>0</v>
      </c>
      <c r="M20" s="309">
        <f t="shared" si="4"/>
      </c>
      <c r="N20" s="309">
        <f t="shared" si="5"/>
      </c>
      <c r="O20" s="309">
        <f t="shared" si="6"/>
      </c>
    </row>
    <row r="21" spans="1:15" s="48" customFormat="1" ht="12.75">
      <c r="A21" s="320">
        <v>10</v>
      </c>
      <c r="B21" s="321"/>
      <c r="C21" s="393"/>
      <c r="D21" s="322"/>
      <c r="E21" s="323"/>
      <c r="F21" s="323"/>
      <c r="G21" s="323"/>
      <c r="H21" s="323"/>
      <c r="I21" s="309">
        <f t="shared" si="0"/>
        <v>0</v>
      </c>
      <c r="J21" s="309">
        <f t="shared" si="1"/>
        <v>0</v>
      </c>
      <c r="K21" s="309">
        <f t="shared" si="2"/>
      </c>
      <c r="L21" s="309">
        <f t="shared" si="3"/>
        <v>0</v>
      </c>
      <c r="M21" s="309">
        <f t="shared" si="4"/>
      </c>
      <c r="N21" s="309">
        <f t="shared" si="5"/>
      </c>
      <c r="O21" s="309">
        <f t="shared" si="6"/>
      </c>
    </row>
    <row r="22" spans="1:15" s="48" customFormat="1" ht="12.75">
      <c r="A22" s="320">
        <v>11</v>
      </c>
      <c r="B22" s="321"/>
      <c r="C22" s="393"/>
      <c r="D22" s="322"/>
      <c r="E22" s="323"/>
      <c r="F22" s="323"/>
      <c r="G22" s="323"/>
      <c r="H22" s="323"/>
      <c r="I22" s="309">
        <f t="shared" si="0"/>
        <v>0</v>
      </c>
      <c r="J22" s="309">
        <f t="shared" si="1"/>
        <v>0</v>
      </c>
      <c r="K22" s="309">
        <f t="shared" si="2"/>
      </c>
      <c r="L22" s="309">
        <f t="shared" si="3"/>
        <v>0</v>
      </c>
      <c r="M22" s="309">
        <f t="shared" si="4"/>
      </c>
      <c r="N22" s="309">
        <f t="shared" si="5"/>
      </c>
      <c r="O22" s="309">
        <f t="shared" si="6"/>
      </c>
    </row>
    <row r="23" spans="1:15" s="48" customFormat="1" ht="12.75">
      <c r="A23" s="320">
        <f aca="true" t="shared" si="7" ref="A23:A75">ROW()-11</f>
        <v>12</v>
      </c>
      <c r="B23" s="321"/>
      <c r="C23" s="393"/>
      <c r="D23" s="322"/>
      <c r="E23" s="323"/>
      <c r="F23" s="323"/>
      <c r="G23" s="323"/>
      <c r="H23" s="323"/>
      <c r="I23" s="309">
        <f t="shared" si="0"/>
        <v>0</v>
      </c>
      <c r="J23" s="309">
        <f t="shared" si="1"/>
        <v>0</v>
      </c>
      <c r="K23" s="309">
        <f t="shared" si="2"/>
      </c>
      <c r="L23" s="309">
        <f t="shared" si="3"/>
        <v>0</v>
      </c>
      <c r="M23" s="309">
        <f t="shared" si="4"/>
      </c>
      <c r="N23" s="309">
        <f t="shared" si="5"/>
      </c>
      <c r="O23" s="309">
        <f t="shared" si="6"/>
      </c>
    </row>
    <row r="24" spans="1:15" s="48" customFormat="1" ht="12.75">
      <c r="A24" s="320">
        <f t="shared" si="7"/>
        <v>13</v>
      </c>
      <c r="B24" s="321"/>
      <c r="C24" s="393"/>
      <c r="D24" s="322"/>
      <c r="E24" s="324"/>
      <c r="F24" s="324"/>
      <c r="G24" s="324"/>
      <c r="H24" s="324"/>
      <c r="I24" s="309">
        <f t="shared" si="0"/>
        <v>0</v>
      </c>
      <c r="J24" s="309">
        <f t="shared" si="1"/>
        <v>0</v>
      </c>
      <c r="K24" s="309">
        <f t="shared" si="2"/>
      </c>
      <c r="L24" s="309">
        <f t="shared" si="3"/>
        <v>0</v>
      </c>
      <c r="M24" s="309">
        <f t="shared" si="4"/>
      </c>
      <c r="N24" s="309">
        <f t="shared" si="5"/>
      </c>
      <c r="O24" s="309">
        <f t="shared" si="6"/>
      </c>
    </row>
    <row r="25" spans="1:15" s="48" customFormat="1" ht="12.75">
      <c r="A25" s="320">
        <f t="shared" si="7"/>
        <v>14</v>
      </c>
      <c r="B25" s="321"/>
      <c r="C25" s="393"/>
      <c r="D25" s="322"/>
      <c r="E25" s="323"/>
      <c r="F25" s="323"/>
      <c r="G25" s="323"/>
      <c r="H25" s="323"/>
      <c r="I25" s="309">
        <f t="shared" si="0"/>
        <v>0</v>
      </c>
      <c r="J25" s="309">
        <f t="shared" si="1"/>
        <v>0</v>
      </c>
      <c r="K25" s="309">
        <f t="shared" si="2"/>
      </c>
      <c r="L25" s="309">
        <f t="shared" si="3"/>
        <v>0</v>
      </c>
      <c r="M25" s="309">
        <f t="shared" si="4"/>
      </c>
      <c r="N25" s="309">
        <f t="shared" si="5"/>
      </c>
      <c r="O25" s="309">
        <f t="shared" si="6"/>
      </c>
    </row>
    <row r="26" spans="1:15" s="48" customFormat="1" ht="12.75">
      <c r="A26" s="320">
        <f t="shared" si="7"/>
        <v>15</v>
      </c>
      <c r="B26" s="321"/>
      <c r="C26" s="393"/>
      <c r="D26" s="322"/>
      <c r="E26" s="324"/>
      <c r="F26" s="324"/>
      <c r="G26" s="324"/>
      <c r="H26" s="323"/>
      <c r="I26" s="309">
        <f t="shared" si="0"/>
        <v>0</v>
      </c>
      <c r="J26" s="309">
        <f t="shared" si="1"/>
        <v>0</v>
      </c>
      <c r="K26" s="309">
        <f t="shared" si="2"/>
      </c>
      <c r="L26" s="309">
        <f t="shared" si="3"/>
        <v>0</v>
      </c>
      <c r="M26" s="309">
        <f t="shared" si="4"/>
      </c>
      <c r="N26" s="309">
        <f t="shared" si="5"/>
      </c>
      <c r="O26" s="309">
        <f t="shared" si="6"/>
      </c>
    </row>
    <row r="27" spans="1:15" s="48" customFormat="1" ht="12.75">
      <c r="A27" s="320">
        <f t="shared" si="7"/>
        <v>16</v>
      </c>
      <c r="B27" s="321"/>
      <c r="C27" s="393"/>
      <c r="D27" s="322"/>
      <c r="E27" s="323"/>
      <c r="F27" s="323"/>
      <c r="G27" s="323"/>
      <c r="H27" s="323"/>
      <c r="I27" s="309">
        <f t="shared" si="0"/>
        <v>0</v>
      </c>
      <c r="J27" s="309">
        <f t="shared" si="1"/>
        <v>0</v>
      </c>
      <c r="K27" s="309">
        <f t="shared" si="2"/>
      </c>
      <c r="L27" s="309">
        <f t="shared" si="3"/>
        <v>0</v>
      </c>
      <c r="M27" s="309">
        <f t="shared" si="4"/>
      </c>
      <c r="N27" s="309">
        <f t="shared" si="5"/>
      </c>
      <c r="O27" s="309">
        <f t="shared" si="6"/>
      </c>
    </row>
    <row r="28" spans="1:15" s="48" customFormat="1" ht="12.75">
      <c r="A28" s="320">
        <f t="shared" si="7"/>
        <v>17</v>
      </c>
      <c r="B28" s="321"/>
      <c r="C28" s="393"/>
      <c r="D28" s="322"/>
      <c r="E28" s="323"/>
      <c r="F28" s="323"/>
      <c r="G28" s="323"/>
      <c r="H28" s="323"/>
      <c r="I28" s="309">
        <f t="shared" si="0"/>
        <v>0</v>
      </c>
      <c r="J28" s="309">
        <f t="shared" si="1"/>
        <v>0</v>
      </c>
      <c r="K28" s="309">
        <f t="shared" si="2"/>
      </c>
      <c r="L28" s="309">
        <f t="shared" si="3"/>
        <v>0</v>
      </c>
      <c r="M28" s="309">
        <f t="shared" si="4"/>
      </c>
      <c r="N28" s="309">
        <f t="shared" si="5"/>
      </c>
      <c r="O28" s="309">
        <f t="shared" si="6"/>
      </c>
    </row>
    <row r="29" spans="1:15" s="48" customFormat="1" ht="12.75">
      <c r="A29" s="320">
        <f t="shared" si="7"/>
        <v>18</v>
      </c>
      <c r="B29" s="321"/>
      <c r="C29" s="393"/>
      <c r="D29" s="322"/>
      <c r="E29" s="323"/>
      <c r="F29" s="323"/>
      <c r="G29" s="323"/>
      <c r="H29" s="323"/>
      <c r="I29" s="309">
        <f t="shared" si="0"/>
        <v>0</v>
      </c>
      <c r="J29" s="309">
        <f t="shared" si="1"/>
        <v>0</v>
      </c>
      <c r="K29" s="309">
        <f t="shared" si="2"/>
      </c>
      <c r="L29" s="309">
        <f t="shared" si="3"/>
        <v>0</v>
      </c>
      <c r="M29" s="309">
        <f t="shared" si="4"/>
      </c>
      <c r="N29" s="309">
        <f t="shared" si="5"/>
      </c>
      <c r="O29" s="309">
        <f t="shared" si="6"/>
      </c>
    </row>
    <row r="30" spans="1:15" s="48" customFormat="1" ht="12.75">
      <c r="A30" s="320">
        <f t="shared" si="7"/>
        <v>19</v>
      </c>
      <c r="B30" s="321"/>
      <c r="C30" s="393"/>
      <c r="D30" s="322"/>
      <c r="E30" s="324"/>
      <c r="F30" s="324"/>
      <c r="G30" s="324"/>
      <c r="H30" s="324"/>
      <c r="I30" s="309">
        <f t="shared" si="0"/>
        <v>0</v>
      </c>
      <c r="J30" s="309">
        <f t="shared" si="1"/>
        <v>0</v>
      </c>
      <c r="K30" s="309">
        <f t="shared" si="2"/>
      </c>
      <c r="L30" s="309">
        <f t="shared" si="3"/>
        <v>0</v>
      </c>
      <c r="M30" s="309">
        <f t="shared" si="4"/>
      </c>
      <c r="N30" s="309">
        <f t="shared" si="5"/>
      </c>
      <c r="O30" s="309">
        <f t="shared" si="6"/>
      </c>
    </row>
    <row r="31" spans="1:15" s="48" customFormat="1" ht="12.75">
      <c r="A31" s="320">
        <f t="shared" si="7"/>
        <v>20</v>
      </c>
      <c r="B31" s="321"/>
      <c r="C31" s="393"/>
      <c r="D31" s="322"/>
      <c r="E31" s="323"/>
      <c r="F31" s="323"/>
      <c r="G31" s="323"/>
      <c r="H31" s="323"/>
      <c r="I31" s="309">
        <f t="shared" si="0"/>
        <v>0</v>
      </c>
      <c r="J31" s="309">
        <f t="shared" si="1"/>
        <v>0</v>
      </c>
      <c r="K31" s="309">
        <f t="shared" si="2"/>
      </c>
      <c r="L31" s="309">
        <f t="shared" si="3"/>
        <v>0</v>
      </c>
      <c r="M31" s="309">
        <f t="shared" si="4"/>
      </c>
      <c r="N31" s="309">
        <f t="shared" si="5"/>
      </c>
      <c r="O31" s="309">
        <f t="shared" si="6"/>
      </c>
    </row>
    <row r="32" spans="1:15" s="48" customFormat="1" ht="12.75">
      <c r="A32" s="320">
        <f t="shared" si="7"/>
        <v>21</v>
      </c>
      <c r="B32" s="321"/>
      <c r="C32" s="393"/>
      <c r="D32" s="322"/>
      <c r="E32" s="324"/>
      <c r="F32" s="324"/>
      <c r="G32" s="324"/>
      <c r="H32" s="324"/>
      <c r="I32" s="309">
        <f t="shared" si="0"/>
        <v>0</v>
      </c>
      <c r="J32" s="309">
        <f t="shared" si="1"/>
        <v>0</v>
      </c>
      <c r="K32" s="309">
        <f t="shared" si="2"/>
      </c>
      <c r="L32" s="309">
        <f t="shared" si="3"/>
        <v>0</v>
      </c>
      <c r="M32" s="309">
        <f t="shared" si="4"/>
      </c>
      <c r="N32" s="309">
        <f t="shared" si="5"/>
      </c>
      <c r="O32" s="309">
        <f t="shared" si="6"/>
      </c>
    </row>
    <row r="33" spans="1:15" s="48" customFormat="1" ht="12.75">
      <c r="A33" s="320">
        <f t="shared" si="7"/>
        <v>22</v>
      </c>
      <c r="B33" s="321"/>
      <c r="C33" s="393"/>
      <c r="D33" s="322"/>
      <c r="E33" s="324"/>
      <c r="F33" s="324"/>
      <c r="G33" s="324"/>
      <c r="H33" s="324"/>
      <c r="I33" s="309">
        <f t="shared" si="0"/>
        <v>0</v>
      </c>
      <c r="J33" s="309">
        <f t="shared" si="1"/>
        <v>0</v>
      </c>
      <c r="K33" s="309">
        <f t="shared" si="2"/>
      </c>
      <c r="L33" s="309">
        <f t="shared" si="3"/>
        <v>0</v>
      </c>
      <c r="M33" s="309">
        <f t="shared" si="4"/>
      </c>
      <c r="N33" s="309">
        <f t="shared" si="5"/>
      </c>
      <c r="O33" s="309">
        <f t="shared" si="6"/>
      </c>
    </row>
    <row r="34" spans="1:15" s="48" customFormat="1" ht="12.75">
      <c r="A34" s="320">
        <f t="shared" si="7"/>
        <v>23</v>
      </c>
      <c r="B34" s="321"/>
      <c r="C34" s="393"/>
      <c r="D34" s="322"/>
      <c r="E34" s="323"/>
      <c r="F34" s="323"/>
      <c r="G34" s="323"/>
      <c r="H34" s="323"/>
      <c r="I34" s="309">
        <f t="shared" si="0"/>
        <v>0</v>
      </c>
      <c r="J34" s="309">
        <f t="shared" si="1"/>
        <v>0</v>
      </c>
      <c r="K34" s="309">
        <f t="shared" si="2"/>
      </c>
      <c r="L34" s="309">
        <f t="shared" si="3"/>
        <v>0</v>
      </c>
      <c r="M34" s="309">
        <f t="shared" si="4"/>
      </c>
      <c r="N34" s="309">
        <f t="shared" si="5"/>
      </c>
      <c r="O34" s="309">
        <f t="shared" si="6"/>
      </c>
    </row>
    <row r="35" spans="1:15" s="48" customFormat="1" ht="12.75">
      <c r="A35" s="320">
        <f t="shared" si="7"/>
        <v>24</v>
      </c>
      <c r="B35" s="321"/>
      <c r="C35" s="393"/>
      <c r="D35" s="322"/>
      <c r="E35" s="323"/>
      <c r="F35" s="323"/>
      <c r="G35" s="323"/>
      <c r="H35" s="323"/>
      <c r="I35" s="309">
        <f t="shared" si="0"/>
        <v>0</v>
      </c>
      <c r="J35" s="309">
        <f t="shared" si="1"/>
        <v>0</v>
      </c>
      <c r="K35" s="309">
        <f t="shared" si="2"/>
      </c>
      <c r="L35" s="309">
        <f t="shared" si="3"/>
        <v>0</v>
      </c>
      <c r="M35" s="309">
        <f t="shared" si="4"/>
      </c>
      <c r="N35" s="309">
        <f t="shared" si="5"/>
      </c>
      <c r="O35" s="309">
        <f t="shared" si="6"/>
      </c>
    </row>
    <row r="36" spans="1:15" s="48" customFormat="1" ht="12.75">
      <c r="A36" s="320">
        <f t="shared" si="7"/>
        <v>25</v>
      </c>
      <c r="B36" s="321"/>
      <c r="C36" s="393"/>
      <c r="D36" s="322"/>
      <c r="E36" s="323"/>
      <c r="F36" s="323"/>
      <c r="G36" s="323"/>
      <c r="H36" s="323"/>
      <c r="I36" s="309">
        <f t="shared" si="0"/>
        <v>0</v>
      </c>
      <c r="J36" s="309">
        <f t="shared" si="1"/>
        <v>0</v>
      </c>
      <c r="K36" s="309">
        <f t="shared" si="2"/>
      </c>
      <c r="L36" s="309">
        <f t="shared" si="3"/>
        <v>0</v>
      </c>
      <c r="M36" s="309">
        <f t="shared" si="4"/>
      </c>
      <c r="N36" s="309">
        <f t="shared" si="5"/>
      </c>
      <c r="O36" s="309">
        <f t="shared" si="6"/>
      </c>
    </row>
    <row r="37" spans="1:15" s="48" customFormat="1" ht="12.75">
      <c r="A37" s="320">
        <f t="shared" si="7"/>
        <v>26</v>
      </c>
      <c r="B37" s="321"/>
      <c r="C37" s="393"/>
      <c r="D37" s="322"/>
      <c r="E37" s="323"/>
      <c r="F37" s="323"/>
      <c r="G37" s="323"/>
      <c r="H37" s="323"/>
      <c r="I37" s="309">
        <f t="shared" si="0"/>
        <v>0</v>
      </c>
      <c r="J37" s="309">
        <f t="shared" si="1"/>
        <v>0</v>
      </c>
      <c r="K37" s="309">
        <f t="shared" si="2"/>
      </c>
      <c r="L37" s="309">
        <f t="shared" si="3"/>
        <v>0</v>
      </c>
      <c r="M37" s="309">
        <f t="shared" si="4"/>
      </c>
      <c r="N37" s="309">
        <f t="shared" si="5"/>
      </c>
      <c r="O37" s="309">
        <f t="shared" si="6"/>
      </c>
    </row>
    <row r="38" spans="1:15" s="48" customFormat="1" ht="12.75">
      <c r="A38" s="320">
        <f t="shared" si="7"/>
        <v>27</v>
      </c>
      <c r="B38" s="321"/>
      <c r="C38" s="393"/>
      <c r="D38" s="322"/>
      <c r="E38" s="323"/>
      <c r="F38" s="323"/>
      <c r="G38" s="323"/>
      <c r="H38" s="323"/>
      <c r="I38" s="309">
        <f t="shared" si="0"/>
        <v>0</v>
      </c>
      <c r="J38" s="309">
        <f t="shared" si="1"/>
        <v>0</v>
      </c>
      <c r="K38" s="309">
        <f t="shared" si="2"/>
      </c>
      <c r="L38" s="309">
        <f t="shared" si="3"/>
        <v>0</v>
      </c>
      <c r="M38" s="309">
        <f t="shared" si="4"/>
      </c>
      <c r="N38" s="309">
        <f t="shared" si="5"/>
      </c>
      <c r="O38" s="309">
        <f t="shared" si="6"/>
      </c>
    </row>
    <row r="39" spans="1:15" s="48" customFormat="1" ht="12.75">
      <c r="A39" s="320">
        <f t="shared" si="7"/>
        <v>28</v>
      </c>
      <c r="B39" s="321"/>
      <c r="C39" s="393"/>
      <c r="D39" s="322"/>
      <c r="E39" s="323"/>
      <c r="F39" s="323"/>
      <c r="G39" s="323"/>
      <c r="H39" s="323"/>
      <c r="I39" s="309">
        <f t="shared" si="0"/>
        <v>0</v>
      </c>
      <c r="J39" s="309">
        <f t="shared" si="1"/>
        <v>0</v>
      </c>
      <c r="K39" s="309">
        <f t="shared" si="2"/>
      </c>
      <c r="L39" s="309">
        <f t="shared" si="3"/>
        <v>0</v>
      </c>
      <c r="M39" s="309">
        <f t="shared" si="4"/>
      </c>
      <c r="N39" s="309">
        <f t="shared" si="5"/>
      </c>
      <c r="O39" s="309">
        <f t="shared" si="6"/>
      </c>
    </row>
    <row r="40" spans="1:15" s="48" customFormat="1" ht="12.75">
      <c r="A40" s="320">
        <f t="shared" si="7"/>
        <v>29</v>
      </c>
      <c r="B40" s="321"/>
      <c r="C40" s="393"/>
      <c r="D40" s="322"/>
      <c r="E40" s="323"/>
      <c r="F40" s="323"/>
      <c r="G40" s="323"/>
      <c r="H40" s="323"/>
      <c r="I40" s="309">
        <f t="shared" si="0"/>
        <v>0</v>
      </c>
      <c r="J40" s="309">
        <f t="shared" si="1"/>
        <v>0</v>
      </c>
      <c r="K40" s="309">
        <f t="shared" si="2"/>
      </c>
      <c r="L40" s="309">
        <f t="shared" si="3"/>
        <v>0</v>
      </c>
      <c r="M40" s="309">
        <f t="shared" si="4"/>
      </c>
      <c r="N40" s="309">
        <f t="shared" si="5"/>
      </c>
      <c r="O40" s="309">
        <f t="shared" si="6"/>
      </c>
    </row>
    <row r="41" spans="1:15" s="48" customFormat="1" ht="12.75">
      <c r="A41" s="320">
        <f t="shared" si="7"/>
        <v>30</v>
      </c>
      <c r="B41" s="321"/>
      <c r="C41" s="393"/>
      <c r="D41" s="322"/>
      <c r="E41" s="323"/>
      <c r="F41" s="323"/>
      <c r="G41" s="323"/>
      <c r="H41" s="323"/>
      <c r="I41" s="309">
        <f t="shared" si="0"/>
        <v>0</v>
      </c>
      <c r="J41" s="309">
        <f t="shared" si="1"/>
        <v>0</v>
      </c>
      <c r="K41" s="309">
        <f t="shared" si="2"/>
      </c>
      <c r="L41" s="309">
        <f t="shared" si="3"/>
        <v>0</v>
      </c>
      <c r="M41" s="309">
        <f t="shared" si="4"/>
      </c>
      <c r="N41" s="309">
        <f t="shared" si="5"/>
      </c>
      <c r="O41" s="309">
        <f t="shared" si="6"/>
      </c>
    </row>
    <row r="42" spans="1:15" s="48" customFormat="1" ht="12.75">
      <c r="A42" s="320">
        <f t="shared" si="7"/>
        <v>31</v>
      </c>
      <c r="B42" s="321"/>
      <c r="C42" s="393"/>
      <c r="D42" s="322"/>
      <c r="E42" s="323"/>
      <c r="F42" s="323"/>
      <c r="G42" s="323"/>
      <c r="H42" s="323"/>
      <c r="I42" s="309">
        <f t="shared" si="0"/>
        <v>0</v>
      </c>
      <c r="J42" s="309">
        <f t="shared" si="1"/>
        <v>0</v>
      </c>
      <c r="K42" s="309">
        <f t="shared" si="2"/>
      </c>
      <c r="L42" s="309">
        <f t="shared" si="3"/>
        <v>0</v>
      </c>
      <c r="M42" s="309">
        <f t="shared" si="4"/>
      </c>
      <c r="N42" s="309">
        <f t="shared" si="5"/>
      </c>
      <c r="O42" s="309">
        <f t="shared" si="6"/>
      </c>
    </row>
    <row r="43" spans="1:15" s="48" customFormat="1" ht="12.75">
      <c r="A43" s="320">
        <f t="shared" si="7"/>
        <v>32</v>
      </c>
      <c r="B43" s="321"/>
      <c r="C43" s="393"/>
      <c r="D43" s="322"/>
      <c r="E43" s="323"/>
      <c r="F43" s="323"/>
      <c r="G43" s="323"/>
      <c r="H43" s="323"/>
      <c r="I43" s="309">
        <f t="shared" si="0"/>
        <v>0</v>
      </c>
      <c r="J43" s="309">
        <f t="shared" si="1"/>
        <v>0</v>
      </c>
      <c r="K43" s="309">
        <f t="shared" si="2"/>
      </c>
      <c r="L43" s="309">
        <f t="shared" si="3"/>
        <v>0</v>
      </c>
      <c r="M43" s="309">
        <f t="shared" si="4"/>
      </c>
      <c r="N43" s="309">
        <f t="shared" si="5"/>
      </c>
      <c r="O43" s="309">
        <f t="shared" si="6"/>
      </c>
    </row>
    <row r="44" spans="1:15" s="48" customFormat="1" ht="12.75">
      <c r="A44" s="320">
        <f t="shared" si="7"/>
        <v>33</v>
      </c>
      <c r="B44" s="321"/>
      <c r="C44" s="393"/>
      <c r="D44" s="322"/>
      <c r="E44" s="323"/>
      <c r="F44" s="323"/>
      <c r="G44" s="323"/>
      <c r="H44" s="323"/>
      <c r="I44" s="309">
        <f t="shared" si="0"/>
        <v>0</v>
      </c>
      <c r="J44" s="309">
        <f t="shared" si="1"/>
        <v>0</v>
      </c>
      <c r="K44" s="309">
        <f t="shared" si="2"/>
      </c>
      <c r="L44" s="309">
        <f t="shared" si="3"/>
        <v>0</v>
      </c>
      <c r="M44" s="309">
        <f t="shared" si="4"/>
      </c>
      <c r="N44" s="309">
        <f t="shared" si="5"/>
      </c>
      <c r="O44" s="309">
        <f t="shared" si="6"/>
      </c>
    </row>
    <row r="45" spans="1:15" s="48" customFormat="1" ht="12.75">
      <c r="A45" s="320">
        <f t="shared" si="7"/>
        <v>34</v>
      </c>
      <c r="B45" s="321"/>
      <c r="C45" s="393"/>
      <c r="D45" s="322"/>
      <c r="E45" s="323"/>
      <c r="F45" s="323"/>
      <c r="G45" s="323"/>
      <c r="H45" s="323"/>
      <c r="I45" s="309">
        <f t="shared" si="0"/>
        <v>0</v>
      </c>
      <c r="J45" s="309">
        <f t="shared" si="1"/>
        <v>0</v>
      </c>
      <c r="K45" s="309">
        <f t="shared" si="2"/>
      </c>
      <c r="L45" s="309">
        <f t="shared" si="3"/>
        <v>0</v>
      </c>
      <c r="M45" s="309">
        <f t="shared" si="4"/>
      </c>
      <c r="N45" s="309">
        <f t="shared" si="5"/>
      </c>
      <c r="O45" s="309">
        <f t="shared" si="6"/>
      </c>
    </row>
    <row r="46" spans="1:15" s="48" customFormat="1" ht="12.75">
      <c r="A46" s="320">
        <f t="shared" si="7"/>
        <v>35</v>
      </c>
      <c r="B46" s="321"/>
      <c r="C46" s="393"/>
      <c r="D46" s="322"/>
      <c r="E46" s="323"/>
      <c r="F46" s="323"/>
      <c r="G46" s="323"/>
      <c r="H46" s="323"/>
      <c r="I46" s="309">
        <f t="shared" si="0"/>
        <v>0</v>
      </c>
      <c r="J46" s="309">
        <f t="shared" si="1"/>
        <v>0</v>
      </c>
      <c r="K46" s="309">
        <f t="shared" si="2"/>
      </c>
      <c r="L46" s="309">
        <f t="shared" si="3"/>
        <v>0</v>
      </c>
      <c r="M46" s="309">
        <f t="shared" si="4"/>
      </c>
      <c r="N46" s="309">
        <f t="shared" si="5"/>
      </c>
      <c r="O46" s="309">
        <f t="shared" si="6"/>
      </c>
    </row>
    <row r="47" spans="1:15" s="48" customFormat="1" ht="12.75">
      <c r="A47" s="320">
        <f t="shared" si="7"/>
        <v>36</v>
      </c>
      <c r="B47" s="321"/>
      <c r="C47" s="393"/>
      <c r="D47" s="322"/>
      <c r="E47" s="324"/>
      <c r="F47" s="324"/>
      <c r="G47" s="324"/>
      <c r="H47" s="324"/>
      <c r="I47" s="309">
        <f t="shared" si="0"/>
        <v>0</v>
      </c>
      <c r="J47" s="309">
        <f t="shared" si="1"/>
        <v>0</v>
      </c>
      <c r="K47" s="309">
        <f t="shared" si="2"/>
      </c>
      <c r="L47" s="309">
        <f t="shared" si="3"/>
        <v>0</v>
      </c>
      <c r="M47" s="309">
        <f t="shared" si="4"/>
      </c>
      <c r="N47" s="309">
        <f t="shared" si="5"/>
      </c>
      <c r="O47" s="309">
        <f t="shared" si="6"/>
      </c>
    </row>
    <row r="48" spans="1:15" s="48" customFormat="1" ht="12.75">
      <c r="A48" s="320">
        <f t="shared" si="7"/>
        <v>37</v>
      </c>
      <c r="B48" s="321"/>
      <c r="C48" s="393"/>
      <c r="D48" s="322"/>
      <c r="E48" s="323"/>
      <c r="F48" s="323"/>
      <c r="G48" s="323"/>
      <c r="H48" s="323"/>
      <c r="I48" s="309">
        <f t="shared" si="0"/>
        <v>0</v>
      </c>
      <c r="J48" s="309">
        <f t="shared" si="1"/>
        <v>0</v>
      </c>
      <c r="K48" s="309">
        <f t="shared" si="2"/>
      </c>
      <c r="L48" s="309">
        <f t="shared" si="3"/>
        <v>0</v>
      </c>
      <c r="M48" s="309">
        <f t="shared" si="4"/>
      </c>
      <c r="N48" s="309">
        <f t="shared" si="5"/>
      </c>
      <c r="O48" s="309">
        <f t="shared" si="6"/>
      </c>
    </row>
    <row r="49" spans="1:15" s="48" customFormat="1" ht="12.75">
      <c r="A49" s="320">
        <f t="shared" si="7"/>
        <v>38</v>
      </c>
      <c r="B49" s="321"/>
      <c r="C49" s="393"/>
      <c r="D49" s="322"/>
      <c r="E49" s="323"/>
      <c r="F49" s="323"/>
      <c r="G49" s="323"/>
      <c r="H49" s="323"/>
      <c r="I49" s="309">
        <f t="shared" si="0"/>
        <v>0</v>
      </c>
      <c r="J49" s="309">
        <f t="shared" si="1"/>
        <v>0</v>
      </c>
      <c r="K49" s="309">
        <f t="shared" si="2"/>
      </c>
      <c r="L49" s="309">
        <f t="shared" si="3"/>
        <v>0</v>
      </c>
      <c r="M49" s="309">
        <f t="shared" si="4"/>
      </c>
      <c r="N49" s="309">
        <f t="shared" si="5"/>
      </c>
      <c r="O49" s="309">
        <f t="shared" si="6"/>
      </c>
    </row>
    <row r="50" spans="1:15" s="48" customFormat="1" ht="12.75">
      <c r="A50" s="320">
        <f t="shared" si="7"/>
        <v>39</v>
      </c>
      <c r="B50" s="321"/>
      <c r="C50" s="393"/>
      <c r="D50" s="322"/>
      <c r="E50" s="323"/>
      <c r="F50" s="323"/>
      <c r="G50" s="323"/>
      <c r="H50" s="323"/>
      <c r="I50" s="309">
        <f t="shared" si="0"/>
        <v>0</v>
      </c>
      <c r="J50" s="309">
        <f t="shared" si="1"/>
        <v>0</v>
      </c>
      <c r="K50" s="309">
        <f t="shared" si="2"/>
      </c>
      <c r="L50" s="309">
        <f t="shared" si="3"/>
        <v>0</v>
      </c>
      <c r="M50" s="309">
        <f t="shared" si="4"/>
      </c>
      <c r="N50" s="309">
        <f t="shared" si="5"/>
      </c>
      <c r="O50" s="309">
        <f t="shared" si="6"/>
      </c>
    </row>
    <row r="51" spans="1:15" s="48" customFormat="1" ht="12.75">
      <c r="A51" s="320">
        <f t="shared" si="7"/>
        <v>40</v>
      </c>
      <c r="B51" s="321"/>
      <c r="C51" s="393"/>
      <c r="D51" s="322"/>
      <c r="E51" s="323"/>
      <c r="F51" s="323"/>
      <c r="G51" s="323"/>
      <c r="H51" s="323"/>
      <c r="I51" s="309">
        <f t="shared" si="0"/>
        <v>0</v>
      </c>
      <c r="J51" s="309">
        <f t="shared" si="1"/>
        <v>0</v>
      </c>
      <c r="K51" s="309">
        <f t="shared" si="2"/>
      </c>
      <c r="L51" s="309">
        <f t="shared" si="3"/>
        <v>0</v>
      </c>
      <c r="M51" s="309">
        <f t="shared" si="4"/>
      </c>
      <c r="N51" s="309">
        <f t="shared" si="5"/>
      </c>
      <c r="O51" s="309">
        <f t="shared" si="6"/>
      </c>
    </row>
    <row r="52" spans="1:15" s="48" customFormat="1" ht="12.75">
      <c r="A52" s="320">
        <f t="shared" si="7"/>
        <v>41</v>
      </c>
      <c r="B52" s="321"/>
      <c r="C52" s="393"/>
      <c r="D52" s="322"/>
      <c r="E52" s="323"/>
      <c r="F52" s="323"/>
      <c r="G52" s="323"/>
      <c r="H52" s="323"/>
      <c r="I52" s="309">
        <f t="shared" si="0"/>
        <v>0</v>
      </c>
      <c r="J52" s="309">
        <f t="shared" si="1"/>
        <v>0</v>
      </c>
      <c r="K52" s="309">
        <f t="shared" si="2"/>
      </c>
      <c r="L52" s="309">
        <f t="shared" si="3"/>
        <v>0</v>
      </c>
      <c r="M52" s="309">
        <f t="shared" si="4"/>
      </c>
      <c r="N52" s="309">
        <f t="shared" si="5"/>
      </c>
      <c r="O52" s="309">
        <f t="shared" si="6"/>
      </c>
    </row>
    <row r="53" spans="1:15" s="48" customFormat="1" ht="12.75">
      <c r="A53" s="320">
        <f t="shared" si="7"/>
        <v>42</v>
      </c>
      <c r="B53" s="321"/>
      <c r="C53" s="393"/>
      <c r="D53" s="322"/>
      <c r="E53" s="323"/>
      <c r="F53" s="323"/>
      <c r="G53" s="323"/>
      <c r="H53" s="323"/>
      <c r="I53" s="309">
        <f t="shared" si="0"/>
        <v>0</v>
      </c>
      <c r="J53" s="309">
        <f t="shared" si="1"/>
        <v>0</v>
      </c>
      <c r="K53" s="309">
        <f t="shared" si="2"/>
      </c>
      <c r="L53" s="309">
        <f t="shared" si="3"/>
        <v>0</v>
      </c>
      <c r="M53" s="309">
        <f t="shared" si="4"/>
      </c>
      <c r="N53" s="309">
        <f t="shared" si="5"/>
      </c>
      <c r="O53" s="309">
        <f t="shared" si="6"/>
      </c>
    </row>
    <row r="54" spans="1:15" s="48" customFormat="1" ht="12.75">
      <c r="A54" s="320">
        <f t="shared" si="7"/>
        <v>43</v>
      </c>
      <c r="B54" s="321"/>
      <c r="C54" s="393"/>
      <c r="D54" s="322"/>
      <c r="E54" s="324"/>
      <c r="F54" s="324"/>
      <c r="G54" s="324"/>
      <c r="H54" s="324"/>
      <c r="I54" s="309">
        <f t="shared" si="0"/>
        <v>0</v>
      </c>
      <c r="J54" s="309">
        <f t="shared" si="1"/>
        <v>0</v>
      </c>
      <c r="K54" s="309">
        <f t="shared" si="2"/>
      </c>
      <c r="L54" s="309">
        <f t="shared" si="3"/>
        <v>0</v>
      </c>
      <c r="M54" s="309">
        <f t="shared" si="4"/>
      </c>
      <c r="N54" s="309">
        <f t="shared" si="5"/>
      </c>
      <c r="O54" s="309">
        <f t="shared" si="6"/>
      </c>
    </row>
    <row r="55" spans="1:15" s="48" customFormat="1" ht="12.75">
      <c r="A55" s="320">
        <f t="shared" si="7"/>
        <v>44</v>
      </c>
      <c r="B55" s="321"/>
      <c r="C55" s="393"/>
      <c r="D55" s="322"/>
      <c r="E55" s="324"/>
      <c r="F55" s="324"/>
      <c r="G55" s="324"/>
      <c r="H55" s="324"/>
      <c r="I55" s="309">
        <f t="shared" si="0"/>
        <v>0</v>
      </c>
      <c r="J55" s="309">
        <f t="shared" si="1"/>
        <v>0</v>
      </c>
      <c r="K55" s="309">
        <f t="shared" si="2"/>
      </c>
      <c r="L55" s="309">
        <f t="shared" si="3"/>
        <v>0</v>
      </c>
      <c r="M55" s="309">
        <f t="shared" si="4"/>
      </c>
      <c r="N55" s="309">
        <f t="shared" si="5"/>
      </c>
      <c r="O55" s="309">
        <f t="shared" si="6"/>
      </c>
    </row>
    <row r="56" spans="1:15" s="48" customFormat="1" ht="12.75">
      <c r="A56" s="320">
        <f t="shared" si="7"/>
        <v>45</v>
      </c>
      <c r="B56" s="321"/>
      <c r="C56" s="393"/>
      <c r="D56" s="322"/>
      <c r="E56" s="323"/>
      <c r="F56" s="323"/>
      <c r="G56" s="323"/>
      <c r="H56" s="323"/>
      <c r="I56" s="309">
        <f t="shared" si="0"/>
        <v>0</v>
      </c>
      <c r="J56" s="309">
        <f t="shared" si="1"/>
        <v>0</v>
      </c>
      <c r="K56" s="309">
        <f t="shared" si="2"/>
      </c>
      <c r="L56" s="309">
        <f t="shared" si="3"/>
        <v>0</v>
      </c>
      <c r="M56" s="309">
        <f t="shared" si="4"/>
      </c>
      <c r="N56" s="309">
        <f t="shared" si="5"/>
      </c>
      <c r="O56" s="309">
        <f t="shared" si="6"/>
      </c>
    </row>
    <row r="57" spans="1:15" s="48" customFormat="1" ht="12.75">
      <c r="A57" s="320">
        <f t="shared" si="7"/>
        <v>46</v>
      </c>
      <c r="B57" s="321"/>
      <c r="C57" s="393"/>
      <c r="D57" s="322"/>
      <c r="E57" s="324"/>
      <c r="F57" s="324"/>
      <c r="G57" s="324"/>
      <c r="H57" s="324"/>
      <c r="I57" s="309">
        <f t="shared" si="0"/>
        <v>0</v>
      </c>
      <c r="J57" s="309">
        <f t="shared" si="1"/>
        <v>0</v>
      </c>
      <c r="K57" s="309">
        <f t="shared" si="2"/>
      </c>
      <c r="L57" s="309">
        <f t="shared" si="3"/>
        <v>0</v>
      </c>
      <c r="M57" s="309">
        <f t="shared" si="4"/>
      </c>
      <c r="N57" s="309">
        <f t="shared" si="5"/>
      </c>
      <c r="O57" s="309">
        <f t="shared" si="6"/>
      </c>
    </row>
    <row r="58" spans="1:15" s="48" customFormat="1" ht="12.75">
      <c r="A58" s="320">
        <f t="shared" si="7"/>
        <v>47</v>
      </c>
      <c r="B58" s="321"/>
      <c r="C58" s="393"/>
      <c r="D58" s="322"/>
      <c r="E58" s="324"/>
      <c r="F58" s="324"/>
      <c r="G58" s="324"/>
      <c r="H58" s="324"/>
      <c r="I58" s="309">
        <f t="shared" si="0"/>
        <v>0</v>
      </c>
      <c r="J58" s="309">
        <f t="shared" si="1"/>
        <v>0</v>
      </c>
      <c r="K58" s="309">
        <f t="shared" si="2"/>
      </c>
      <c r="L58" s="309">
        <f t="shared" si="3"/>
        <v>0</v>
      </c>
      <c r="M58" s="309">
        <f t="shared" si="4"/>
      </c>
      <c r="N58" s="309">
        <f t="shared" si="5"/>
      </c>
      <c r="O58" s="309">
        <f t="shared" si="6"/>
      </c>
    </row>
    <row r="59" spans="1:15" s="48" customFormat="1" ht="12.75">
      <c r="A59" s="320">
        <f t="shared" si="7"/>
        <v>48</v>
      </c>
      <c r="B59" s="321"/>
      <c r="C59" s="393"/>
      <c r="D59" s="322"/>
      <c r="E59" s="323"/>
      <c r="F59" s="323"/>
      <c r="G59" s="323"/>
      <c r="H59" s="323"/>
      <c r="I59" s="309">
        <f t="shared" si="0"/>
        <v>0</v>
      </c>
      <c r="J59" s="309">
        <f t="shared" si="1"/>
        <v>0</v>
      </c>
      <c r="K59" s="309">
        <f t="shared" si="2"/>
      </c>
      <c r="L59" s="309">
        <f t="shared" si="3"/>
        <v>0</v>
      </c>
      <c r="M59" s="309">
        <f t="shared" si="4"/>
      </c>
      <c r="N59" s="309">
        <f t="shared" si="5"/>
      </c>
      <c r="O59" s="309">
        <f t="shared" si="6"/>
      </c>
    </row>
    <row r="60" spans="1:15" s="48" customFormat="1" ht="12.75">
      <c r="A60" s="320">
        <f t="shared" si="7"/>
        <v>49</v>
      </c>
      <c r="B60" s="321"/>
      <c r="C60" s="393"/>
      <c r="D60" s="322"/>
      <c r="E60" s="323"/>
      <c r="F60" s="323"/>
      <c r="G60" s="323"/>
      <c r="H60" s="323"/>
      <c r="I60" s="309">
        <f t="shared" si="0"/>
        <v>0</v>
      </c>
      <c r="J60" s="309">
        <f t="shared" si="1"/>
        <v>0</v>
      </c>
      <c r="K60" s="309">
        <f t="shared" si="2"/>
      </c>
      <c r="L60" s="309">
        <f t="shared" si="3"/>
        <v>0</v>
      </c>
      <c r="M60" s="309">
        <f t="shared" si="4"/>
      </c>
      <c r="N60" s="309">
        <f t="shared" si="5"/>
      </c>
      <c r="O60" s="309">
        <f t="shared" si="6"/>
      </c>
    </row>
    <row r="61" spans="1:15" s="48" customFormat="1" ht="12.75">
      <c r="A61" s="320">
        <f t="shared" si="7"/>
        <v>50</v>
      </c>
      <c r="B61" s="321"/>
      <c r="C61" s="393"/>
      <c r="D61" s="322"/>
      <c r="E61" s="323"/>
      <c r="F61" s="323"/>
      <c r="G61" s="323"/>
      <c r="H61" s="323"/>
      <c r="I61" s="309">
        <f t="shared" si="0"/>
        <v>0</v>
      </c>
      <c r="J61" s="309">
        <f t="shared" si="1"/>
        <v>0</v>
      </c>
      <c r="K61" s="309">
        <f t="shared" si="2"/>
      </c>
      <c r="L61" s="309">
        <f t="shared" si="3"/>
        <v>0</v>
      </c>
      <c r="M61" s="309">
        <f t="shared" si="4"/>
      </c>
      <c r="N61" s="309">
        <f t="shared" si="5"/>
      </c>
      <c r="O61" s="309">
        <f t="shared" si="6"/>
      </c>
    </row>
    <row r="62" spans="1:15" s="48" customFormat="1" ht="12.75">
      <c r="A62" s="320">
        <f t="shared" si="7"/>
        <v>51</v>
      </c>
      <c r="B62" s="321"/>
      <c r="C62" s="393"/>
      <c r="D62" s="322"/>
      <c r="E62" s="323"/>
      <c r="F62" s="323"/>
      <c r="G62" s="323"/>
      <c r="H62" s="323"/>
      <c r="I62" s="309">
        <f t="shared" si="0"/>
        <v>0</v>
      </c>
      <c r="J62" s="309">
        <f t="shared" si="1"/>
        <v>0</v>
      </c>
      <c r="K62" s="309">
        <f t="shared" si="2"/>
      </c>
      <c r="L62" s="309">
        <f t="shared" si="3"/>
        <v>0</v>
      </c>
      <c r="M62" s="309">
        <f t="shared" si="4"/>
      </c>
      <c r="N62" s="309">
        <f t="shared" si="5"/>
      </c>
      <c r="O62" s="309">
        <f t="shared" si="6"/>
      </c>
    </row>
    <row r="63" spans="1:15" s="48" customFormat="1" ht="12.75">
      <c r="A63" s="320">
        <f t="shared" si="7"/>
        <v>52</v>
      </c>
      <c r="B63" s="321"/>
      <c r="C63" s="393"/>
      <c r="D63" s="322"/>
      <c r="E63" s="323"/>
      <c r="F63" s="323"/>
      <c r="G63" s="323"/>
      <c r="H63" s="323"/>
      <c r="I63" s="309">
        <f t="shared" si="0"/>
        <v>0</v>
      </c>
      <c r="J63" s="309">
        <f t="shared" si="1"/>
        <v>0</v>
      </c>
      <c r="K63" s="309">
        <f t="shared" si="2"/>
      </c>
      <c r="L63" s="309">
        <f t="shared" si="3"/>
        <v>0</v>
      </c>
      <c r="M63" s="309">
        <f t="shared" si="4"/>
      </c>
      <c r="N63" s="309">
        <f t="shared" si="5"/>
      </c>
      <c r="O63" s="309">
        <f t="shared" si="6"/>
      </c>
    </row>
    <row r="64" spans="1:15" s="49" customFormat="1" ht="12.75">
      <c r="A64" s="320">
        <f t="shared" si="7"/>
        <v>53</v>
      </c>
      <c r="B64" s="321"/>
      <c r="C64" s="393"/>
      <c r="D64" s="322"/>
      <c r="E64" s="323"/>
      <c r="F64" s="323"/>
      <c r="G64" s="323"/>
      <c r="H64" s="323"/>
      <c r="I64" s="309">
        <f t="shared" si="0"/>
        <v>0</v>
      </c>
      <c r="J64" s="309">
        <f t="shared" si="1"/>
        <v>0</v>
      </c>
      <c r="K64" s="309">
        <f t="shared" si="2"/>
      </c>
      <c r="L64" s="309">
        <f t="shared" si="3"/>
        <v>0</v>
      </c>
      <c r="M64" s="309">
        <f t="shared" si="4"/>
      </c>
      <c r="N64" s="309">
        <f t="shared" si="5"/>
      </c>
      <c r="O64" s="309">
        <f t="shared" si="6"/>
      </c>
    </row>
    <row r="65" spans="1:15" s="49" customFormat="1" ht="12.75">
      <c r="A65" s="320">
        <f t="shared" si="7"/>
        <v>54</v>
      </c>
      <c r="B65" s="321"/>
      <c r="C65" s="393"/>
      <c r="D65" s="322"/>
      <c r="E65" s="324"/>
      <c r="F65" s="324"/>
      <c r="G65" s="324"/>
      <c r="H65" s="324"/>
      <c r="I65" s="309">
        <f>LEN(B65)</f>
        <v>0</v>
      </c>
      <c r="J65" s="309">
        <f>IF((I65)=0,0,FIND(" ",B65))</f>
        <v>0</v>
      </c>
      <c r="K65" s="309">
        <f>IF(OR(ISERR(J65),I65=0),"",CONCATENATE(MID(B65,J65+1,1),"."))</f>
      </c>
      <c r="L65" s="309">
        <f>IF(LEN(B65)=0,0,FIND(" ",B65,J65+1))</f>
        <v>0</v>
      </c>
      <c r="M65" s="309">
        <f>IF(OR(I65=0,ISERR(L65)),"",CONCATENATE(MID(B65,L65+1,1),"."))</f>
      </c>
      <c r="N65" s="309">
        <f>IF(B65="","",IF(ISERR(J65),UPPER(B65),UPPER(MID(B65,1,J65-1))))</f>
      </c>
      <c r="O65" s="309">
        <f>CONCATENATE(K65,M65)</f>
      </c>
    </row>
    <row r="66" spans="1:15" s="49" customFormat="1" ht="12.75">
      <c r="A66" s="320">
        <f t="shared" si="7"/>
        <v>55</v>
      </c>
      <c r="B66" s="321"/>
      <c r="C66" s="393"/>
      <c r="D66" s="322"/>
      <c r="E66" s="323"/>
      <c r="F66" s="323"/>
      <c r="G66" s="323"/>
      <c r="H66" s="323"/>
      <c r="I66" s="309">
        <f>LEN(B66)</f>
        <v>0</v>
      </c>
      <c r="J66" s="309">
        <f>IF((I66)=0,0,FIND(" ",B66))</f>
        <v>0</v>
      </c>
      <c r="K66" s="309">
        <f>IF(OR(ISERR(J66),I66=0),"",CONCATENATE(MID(B66,J66+1,1),"."))</f>
      </c>
      <c r="L66" s="309">
        <f>IF(LEN(B66)=0,0,FIND(" ",B66,J66+1))</f>
        <v>0</v>
      </c>
      <c r="M66" s="309">
        <f>IF(OR(I66=0,ISERR(L66)),"",CONCATENATE(MID(B66,L66+1,1),"."))</f>
      </c>
      <c r="N66" s="309">
        <f>IF(B66="","",IF(ISERR(J66),UPPER(B66),UPPER(MID(B66,1,J66-1))))</f>
      </c>
      <c r="O66" s="309">
        <f>CONCATENATE(K66,M66)</f>
      </c>
    </row>
    <row r="67" spans="1:15" s="49" customFormat="1" ht="12.75">
      <c r="A67" s="320">
        <f t="shared" si="7"/>
        <v>56</v>
      </c>
      <c r="B67" s="321"/>
      <c r="C67" s="393"/>
      <c r="D67" s="322"/>
      <c r="E67" s="323"/>
      <c r="F67" s="323"/>
      <c r="G67" s="323"/>
      <c r="H67" s="323"/>
      <c r="I67" s="309">
        <f>LEN(B67)</f>
        <v>0</v>
      </c>
      <c r="J67" s="309">
        <f>IF((I67)=0,0,FIND(" ",B67))</f>
        <v>0</v>
      </c>
      <c r="K67" s="309">
        <f>IF(OR(ISERR(J67),I67=0),"",CONCATENATE(MID(B67,J67+1,1),"."))</f>
      </c>
      <c r="L67" s="309">
        <f>IF(LEN(B67)=0,0,FIND(" ",B67,J67+1))</f>
        <v>0</v>
      </c>
      <c r="M67" s="309">
        <f>IF(OR(I67=0,ISERR(L67)),"",CONCATENATE(MID(B67,L67+1,1),"."))</f>
      </c>
      <c r="N67" s="309">
        <f>IF(B67="","",IF(ISERR(J67),UPPER(B67),UPPER(MID(B67,1,J67-1))))</f>
      </c>
      <c r="O67" s="309">
        <f>CONCATENATE(K67,M67)</f>
      </c>
    </row>
    <row r="68" spans="1:15" s="49" customFormat="1" ht="12.75">
      <c r="A68" s="320">
        <f t="shared" si="7"/>
        <v>57</v>
      </c>
      <c r="B68" s="321"/>
      <c r="C68" s="393"/>
      <c r="D68" s="322"/>
      <c r="E68" s="323"/>
      <c r="F68" s="323"/>
      <c r="G68" s="323"/>
      <c r="H68" s="323"/>
      <c r="I68" s="309">
        <f>LEN(B68)</f>
        <v>0</v>
      </c>
      <c r="J68" s="309">
        <f>IF((I68)=0,0,FIND(" ",B68))</f>
        <v>0</v>
      </c>
      <c r="K68" s="309">
        <f>IF(OR(ISERR(J68),I68=0),"",CONCATENATE(MID(B68,J68+1,1),"."))</f>
      </c>
      <c r="L68" s="309">
        <f>IF(LEN(B68)=0,0,FIND(" ",B68,J68+1))</f>
        <v>0</v>
      </c>
      <c r="M68" s="309">
        <f>IF(OR(I68=0,ISERR(L68)),"",CONCATENATE(MID(B68,L68+1,1),"."))</f>
      </c>
      <c r="N68" s="309">
        <f>IF(B68="","",IF(ISERR(J68),UPPER(B68),UPPER(MID(B68,1,J68-1))))</f>
      </c>
      <c r="O68" s="309">
        <f>CONCATENATE(K68,M68)</f>
      </c>
    </row>
    <row r="69" spans="1:15" s="49" customFormat="1" ht="12.75">
      <c r="A69" s="320">
        <f t="shared" si="7"/>
        <v>58</v>
      </c>
      <c r="B69" s="321"/>
      <c r="C69" s="393"/>
      <c r="D69" s="322"/>
      <c r="E69" s="323"/>
      <c r="F69" s="323"/>
      <c r="G69" s="323"/>
      <c r="H69" s="323"/>
      <c r="I69" s="309">
        <f t="shared" si="0"/>
        <v>0</v>
      </c>
      <c r="J69" s="309">
        <f t="shared" si="1"/>
        <v>0</v>
      </c>
      <c r="K69" s="309">
        <f t="shared" si="2"/>
      </c>
      <c r="L69" s="309">
        <f t="shared" si="3"/>
        <v>0</v>
      </c>
      <c r="M69" s="309">
        <f t="shared" si="4"/>
      </c>
      <c r="N69" s="309">
        <f t="shared" si="5"/>
      </c>
      <c r="O69" s="309">
        <f t="shared" si="6"/>
      </c>
    </row>
    <row r="70" spans="1:15" s="49" customFormat="1" ht="12.75">
      <c r="A70" s="320">
        <f t="shared" si="7"/>
        <v>59</v>
      </c>
      <c r="B70" s="321"/>
      <c r="C70" s="393"/>
      <c r="D70" s="322"/>
      <c r="E70" s="323"/>
      <c r="F70" s="323"/>
      <c r="G70" s="323"/>
      <c r="H70" s="323"/>
      <c r="I70" s="309">
        <f t="shared" si="0"/>
        <v>0</v>
      </c>
      <c r="J70" s="309">
        <f t="shared" si="1"/>
        <v>0</v>
      </c>
      <c r="K70" s="309">
        <f t="shared" si="2"/>
      </c>
      <c r="L70" s="309">
        <f t="shared" si="3"/>
        <v>0</v>
      </c>
      <c r="M70" s="309">
        <f t="shared" si="4"/>
      </c>
      <c r="N70" s="309">
        <f t="shared" si="5"/>
      </c>
      <c r="O70" s="309">
        <f t="shared" si="6"/>
      </c>
    </row>
    <row r="71" spans="1:15" s="49" customFormat="1" ht="12.75">
      <c r="A71" s="320">
        <f t="shared" si="7"/>
        <v>60</v>
      </c>
      <c r="B71" s="321"/>
      <c r="C71" s="393"/>
      <c r="D71" s="322"/>
      <c r="E71" s="324"/>
      <c r="F71" s="324"/>
      <c r="G71" s="324"/>
      <c r="H71" s="324"/>
      <c r="I71" s="309">
        <f t="shared" si="0"/>
        <v>0</v>
      </c>
      <c r="J71" s="309">
        <f t="shared" si="1"/>
        <v>0</v>
      </c>
      <c r="K71" s="309">
        <f t="shared" si="2"/>
      </c>
      <c r="L71" s="309">
        <f t="shared" si="3"/>
        <v>0</v>
      </c>
      <c r="M71" s="309">
        <f t="shared" si="4"/>
      </c>
      <c r="N71" s="309">
        <f t="shared" si="5"/>
      </c>
      <c r="O71" s="309">
        <f t="shared" si="6"/>
      </c>
    </row>
    <row r="72" spans="1:15" s="49" customFormat="1" ht="12.75" hidden="1">
      <c r="A72" s="320">
        <f t="shared" si="7"/>
        <v>61</v>
      </c>
      <c r="B72" s="321"/>
      <c r="C72" s="393"/>
      <c r="D72" s="322"/>
      <c r="E72" s="323"/>
      <c r="F72" s="323"/>
      <c r="G72" s="323"/>
      <c r="H72" s="323"/>
      <c r="I72" s="309">
        <f t="shared" si="0"/>
        <v>0</v>
      </c>
      <c r="J72" s="309">
        <f t="shared" si="1"/>
        <v>0</v>
      </c>
      <c r="K72" s="309">
        <f t="shared" si="2"/>
      </c>
      <c r="L72" s="309">
        <f t="shared" si="3"/>
        <v>0</v>
      </c>
      <c r="M72" s="309">
        <f t="shared" si="4"/>
      </c>
      <c r="N72" s="309">
        <f t="shared" si="5"/>
      </c>
      <c r="O72" s="309">
        <f t="shared" si="6"/>
      </c>
    </row>
    <row r="73" spans="1:15" s="49" customFormat="1" ht="12.75" hidden="1">
      <c r="A73" s="320">
        <f t="shared" si="7"/>
        <v>62</v>
      </c>
      <c r="B73" s="321"/>
      <c r="C73" s="393"/>
      <c r="D73" s="322"/>
      <c r="E73" s="323"/>
      <c r="F73" s="323"/>
      <c r="G73" s="323"/>
      <c r="H73" s="323"/>
      <c r="I73" s="309">
        <f t="shared" si="0"/>
        <v>0</v>
      </c>
      <c r="J73" s="309">
        <f t="shared" si="1"/>
        <v>0</v>
      </c>
      <c r="K73" s="309">
        <f t="shared" si="2"/>
      </c>
      <c r="L73" s="309">
        <f t="shared" si="3"/>
        <v>0</v>
      </c>
      <c r="M73" s="309">
        <f t="shared" si="4"/>
      </c>
      <c r="N73" s="309">
        <f t="shared" si="5"/>
      </c>
      <c r="O73" s="309">
        <f t="shared" si="6"/>
      </c>
    </row>
    <row r="74" spans="1:15" s="49" customFormat="1" ht="12.75" hidden="1">
      <c r="A74" s="320">
        <f t="shared" si="7"/>
        <v>63</v>
      </c>
      <c r="B74" s="321"/>
      <c r="C74" s="393"/>
      <c r="D74" s="322"/>
      <c r="E74" s="323"/>
      <c r="F74" s="323"/>
      <c r="G74" s="323"/>
      <c r="H74" s="323"/>
      <c r="I74" s="309">
        <f t="shared" si="0"/>
        <v>0</v>
      </c>
      <c r="J74" s="309">
        <f t="shared" si="1"/>
        <v>0</v>
      </c>
      <c r="K74" s="309">
        <f t="shared" si="2"/>
      </c>
      <c r="L74" s="309">
        <f t="shared" si="3"/>
        <v>0</v>
      </c>
      <c r="M74" s="309">
        <f t="shared" si="4"/>
      </c>
      <c r="N74" s="309">
        <f t="shared" si="5"/>
      </c>
      <c r="O74" s="309">
        <f t="shared" si="6"/>
      </c>
    </row>
    <row r="75" spans="1:15" s="49" customFormat="1" ht="12.75" hidden="1">
      <c r="A75" s="320">
        <f t="shared" si="7"/>
        <v>64</v>
      </c>
      <c r="B75" s="321"/>
      <c r="C75" s="393"/>
      <c r="D75" s="322"/>
      <c r="E75" s="324"/>
      <c r="F75" s="324"/>
      <c r="G75" s="324"/>
      <c r="H75" s="324"/>
      <c r="I75" s="309">
        <f t="shared" si="0"/>
        <v>0</v>
      </c>
      <c r="J75" s="309">
        <f t="shared" si="1"/>
        <v>0</v>
      </c>
      <c r="K75" s="309">
        <f t="shared" si="2"/>
      </c>
      <c r="L75" s="309">
        <f t="shared" si="3"/>
        <v>0</v>
      </c>
      <c r="M75" s="309">
        <f t="shared" si="4"/>
      </c>
      <c r="N75" s="309">
        <f t="shared" si="5"/>
      </c>
      <c r="O75" s="309">
        <f t="shared" si="6"/>
      </c>
    </row>
    <row r="76" spans="1:8" ht="23.25" customHeight="1">
      <c r="A76" s="50"/>
      <c r="B76" s="50"/>
      <c r="C76" s="51"/>
      <c r="D76" s="52"/>
      <c r="E76" s="52"/>
      <c r="F76" s="52"/>
      <c r="G76" s="52"/>
      <c r="H76" s="52"/>
    </row>
    <row r="77" spans="1:8" ht="12.75" customHeight="1">
      <c r="A77" s="3" t="s">
        <v>20</v>
      </c>
      <c r="B77" s="3"/>
      <c r="C77" s="59"/>
      <c r="D77" s="746" t="str">
        <f>UPPER(Установка!C11)</f>
        <v>ЗЕЛИНГЕР М.М.</v>
      </c>
      <c r="E77" s="746"/>
      <c r="F77" s="8"/>
      <c r="G77" s="7"/>
      <c r="H77"/>
    </row>
    <row r="78" spans="1:8" ht="12.75" customHeight="1">
      <c r="A78" s="11"/>
      <c r="B78" s="11"/>
      <c r="C78" s="57" t="s">
        <v>42</v>
      </c>
      <c r="D78" s="660" t="s">
        <v>43</v>
      </c>
      <c r="E78" s="660"/>
      <c r="F78" s="58"/>
      <c r="G78" s="7"/>
      <c r="H78"/>
    </row>
    <row r="79" spans="1:8" ht="12.75" customHeight="1">
      <c r="A79" s="3" t="s">
        <v>21</v>
      </c>
      <c r="B79" s="3"/>
      <c r="C79" s="59"/>
      <c r="D79" s="746" t="str">
        <f>UPPER(Установка!C12)</f>
        <v>ГУТОВ К.Г.</v>
      </c>
      <c r="E79" s="746"/>
      <c r="F79" s="8"/>
      <c r="G79" s="7"/>
      <c r="H79"/>
    </row>
    <row r="80" spans="1:8" ht="12.75" customHeight="1">
      <c r="A80" s="11"/>
      <c r="B80" s="11"/>
      <c r="C80" s="57" t="s">
        <v>42</v>
      </c>
      <c r="D80" s="660" t="s">
        <v>43</v>
      </c>
      <c r="E80" s="660"/>
      <c r="F80" s="58"/>
      <c r="G80" s="7"/>
      <c r="H80"/>
    </row>
    <row r="81" spans="1:8" ht="12.75" customHeight="1" hidden="1">
      <c r="A81" s="1"/>
      <c r="B81" s="1"/>
      <c r="C81" s="1"/>
      <c r="D81" s="2"/>
      <c r="E81" s="2"/>
      <c r="F81" s="2"/>
      <c r="G81" s="2"/>
      <c r="H81" s="2"/>
    </row>
    <row r="82" spans="1:8" s="53" customFormat="1" ht="25.5" customHeight="1" hidden="1">
      <c r="A82" s="745" t="s">
        <v>41</v>
      </c>
      <c r="B82" s="745"/>
      <c r="C82" s="745"/>
      <c r="D82" s="745"/>
      <c r="E82" s="745"/>
      <c r="F82" s="745"/>
      <c r="G82" s="745"/>
      <c r="H82" s="745"/>
    </row>
    <row r="83" spans="1:8" s="53" customFormat="1" ht="24" customHeight="1" hidden="1">
      <c r="A83" s="745" t="s">
        <v>38</v>
      </c>
      <c r="B83" s="745"/>
      <c r="C83" s="745"/>
      <c r="D83" s="745"/>
      <c r="E83" s="745"/>
      <c r="F83" s="745"/>
      <c r="G83" s="745"/>
      <c r="H83" s="745"/>
    </row>
    <row r="85" spans="1:2" ht="12.75">
      <c r="A85" s="54"/>
      <c r="B85" s="54"/>
    </row>
    <row r="86" spans="1:6" ht="12.75">
      <c r="A86" s="54"/>
      <c r="B86" s="54"/>
      <c r="F86" s="52"/>
    </row>
    <row r="87" spans="1:6" ht="12.75">
      <c r="A87" s="54"/>
      <c r="B87" s="54"/>
      <c r="F87" s="52"/>
    </row>
    <row r="88" spans="1:6" ht="12.75">
      <c r="A88" s="54"/>
      <c r="B88" s="54"/>
      <c r="F88" s="52"/>
    </row>
    <row r="89" spans="1:6" ht="12.75">
      <c r="A89" s="54"/>
      <c r="B89" s="54"/>
      <c r="F89" s="52"/>
    </row>
    <row r="90" spans="1:6" ht="12.75">
      <c r="A90" s="54"/>
      <c r="B90" s="54"/>
      <c r="F90" s="52"/>
    </row>
    <row r="91" spans="1:8" s="249" customFormat="1" ht="12.75" hidden="1">
      <c r="A91" s="376"/>
      <c r="B91" s="376">
        <f>64-COUNTIF(B12:B75,"")</f>
        <v>0</v>
      </c>
      <c r="D91" s="377"/>
      <c r="E91" s="377"/>
      <c r="F91" s="378"/>
      <c r="G91" s="377"/>
      <c r="H91" s="377"/>
    </row>
    <row r="92" spans="1:6" ht="12.75">
      <c r="A92" s="54"/>
      <c r="B92" s="54"/>
      <c r="F92" s="52"/>
    </row>
    <row r="93" spans="1:6" ht="12.75">
      <c r="A93" s="54"/>
      <c r="B93" s="54"/>
      <c r="F93" s="52"/>
    </row>
    <row r="94" spans="1:6" ht="12.75">
      <c r="A94" s="54"/>
      <c r="B94" s="54"/>
      <c r="F94" s="52"/>
    </row>
    <row r="96" spans="1:6" ht="12.75">
      <c r="A96" s="54"/>
      <c r="B96" s="54"/>
      <c r="F96" s="52"/>
    </row>
    <row r="97" spans="1:6" ht="12.75">
      <c r="A97" s="54"/>
      <c r="B97" s="54"/>
      <c r="F97" s="52"/>
    </row>
    <row r="98" spans="1:6" ht="12.75">
      <c r="A98" s="54"/>
      <c r="B98" s="54"/>
      <c r="F98" s="52"/>
    </row>
    <row r="99" spans="1:6" ht="12.75">
      <c r="A99" s="54"/>
      <c r="B99" s="54"/>
      <c r="F99" s="52"/>
    </row>
    <row r="100" spans="1:6" ht="12.75">
      <c r="A100" s="54"/>
      <c r="B100" s="54"/>
      <c r="F100" s="52"/>
    </row>
    <row r="101" spans="1:6" ht="12.75">
      <c r="A101" s="54"/>
      <c r="B101" s="54"/>
      <c r="F101" s="52"/>
    </row>
    <row r="102" spans="1:6" ht="12.75">
      <c r="A102" s="54"/>
      <c r="B102" s="54"/>
      <c r="F102" s="52"/>
    </row>
    <row r="103" spans="1:6" ht="12.75">
      <c r="A103" s="54"/>
      <c r="B103" s="54"/>
      <c r="F103" s="52"/>
    </row>
    <row r="104" spans="1:6" ht="12.75">
      <c r="A104" s="54"/>
      <c r="B104" s="54"/>
      <c r="F104" s="52"/>
    </row>
    <row r="105" spans="1:6" ht="12.75">
      <c r="A105" s="54"/>
      <c r="B105" s="54"/>
      <c r="F105" s="52"/>
    </row>
    <row r="106" spans="1:6" ht="12.75">
      <c r="A106" s="54"/>
      <c r="B106" s="54"/>
      <c r="F106" s="52"/>
    </row>
    <row r="107" spans="1:6" ht="12.75">
      <c r="A107" s="54"/>
      <c r="B107" s="54"/>
      <c r="F107" s="52"/>
    </row>
    <row r="108" spans="1:6" ht="12.75">
      <c r="A108" s="54"/>
      <c r="B108" s="54"/>
      <c r="F108" s="52"/>
    </row>
    <row r="109" spans="1:6" ht="12.75">
      <c r="A109" s="54"/>
      <c r="B109" s="54"/>
      <c r="F109" s="52"/>
    </row>
    <row r="110" spans="1:6" ht="12.75">
      <c r="A110" s="54"/>
      <c r="B110" s="54"/>
      <c r="F110" s="52"/>
    </row>
    <row r="111" spans="1:6" ht="12.75">
      <c r="A111" s="54"/>
      <c r="B111" s="54"/>
      <c r="F111" s="52"/>
    </row>
    <row r="112" spans="1:6" ht="12.75">
      <c r="A112" s="54"/>
      <c r="B112" s="54"/>
      <c r="F112" s="52"/>
    </row>
    <row r="113" spans="1:6" ht="12.75">
      <c r="A113" s="54"/>
      <c r="B113" s="54"/>
      <c r="F113" s="52"/>
    </row>
    <row r="114" spans="1:6" ht="12.75">
      <c r="A114" s="54"/>
      <c r="B114" s="54"/>
      <c r="F114" s="52"/>
    </row>
    <row r="115" spans="1:6" ht="12.75">
      <c r="A115" s="54"/>
      <c r="B115" s="54"/>
      <c r="F115" s="52"/>
    </row>
    <row r="116" spans="1:6" ht="12.75">
      <c r="A116" s="54"/>
      <c r="B116" s="54"/>
      <c r="F116" s="52"/>
    </row>
    <row r="117" spans="1:6" ht="12.75">
      <c r="A117" s="54"/>
      <c r="B117" s="54"/>
      <c r="F117" s="52"/>
    </row>
    <row r="118" spans="1:6" ht="12.75">
      <c r="A118" s="54"/>
      <c r="B118" s="54"/>
      <c r="F118" s="52"/>
    </row>
    <row r="119" spans="1:6" ht="12.75">
      <c r="A119" s="54"/>
      <c r="B119" s="54"/>
      <c r="F119" s="52"/>
    </row>
    <row r="120" spans="1:6" ht="12.75">
      <c r="A120" s="54"/>
      <c r="B120" s="54"/>
      <c r="F120" s="52"/>
    </row>
    <row r="121" spans="1:6" ht="12.75">
      <c r="A121" s="54"/>
      <c r="B121" s="54"/>
      <c r="F121" s="52"/>
    </row>
    <row r="122" spans="1:6" ht="12.75">
      <c r="A122" s="54"/>
      <c r="B122" s="54"/>
      <c r="F122" s="52"/>
    </row>
    <row r="123" spans="1:6" ht="12.75">
      <c r="A123" s="54"/>
      <c r="B123" s="54"/>
      <c r="F123" s="52"/>
    </row>
    <row r="124" spans="1:6" ht="12.75">
      <c r="A124" s="54"/>
      <c r="B124" s="54"/>
      <c r="F124" s="52"/>
    </row>
    <row r="125" spans="1:6" ht="12.75">
      <c r="A125" s="54"/>
      <c r="B125" s="54"/>
      <c r="F125" s="52"/>
    </row>
    <row r="126" spans="1:6" ht="12.75">
      <c r="A126" s="54"/>
      <c r="B126" s="54"/>
      <c r="F126" s="52"/>
    </row>
    <row r="127" spans="1:6" ht="12.75">
      <c r="A127" s="54"/>
      <c r="B127" s="54"/>
      <c r="F127" s="52"/>
    </row>
    <row r="128" spans="1:6" ht="12.75">
      <c r="A128" s="54"/>
      <c r="B128" s="54"/>
      <c r="F128" s="52"/>
    </row>
    <row r="129" spans="1:6" ht="12.75">
      <c r="A129" s="54"/>
      <c r="B129" s="54"/>
      <c r="F129" s="52"/>
    </row>
    <row r="130" spans="1:6" ht="12.75">
      <c r="A130" s="54"/>
      <c r="B130" s="54"/>
      <c r="F130" s="52"/>
    </row>
    <row r="131" spans="1:6" ht="12.75">
      <c r="A131" s="54"/>
      <c r="B131" s="54"/>
      <c r="F131" s="52"/>
    </row>
    <row r="132" spans="1:6" ht="12.75">
      <c r="A132" s="54"/>
      <c r="B132" s="54"/>
      <c r="F132" s="52"/>
    </row>
    <row r="133" spans="1:6" ht="12.75">
      <c r="A133" s="54"/>
      <c r="B133" s="54"/>
      <c r="F133" s="52"/>
    </row>
    <row r="134" spans="1:6" ht="12.75">
      <c r="A134" s="54"/>
      <c r="B134" s="54"/>
      <c r="F134" s="52"/>
    </row>
    <row r="135" spans="1:6" ht="12.75">
      <c r="A135" s="54"/>
      <c r="B135" s="54"/>
      <c r="F135" s="52"/>
    </row>
    <row r="136" spans="1:6" ht="12.75">
      <c r="A136" s="54"/>
      <c r="B136" s="54"/>
      <c r="F136" s="52"/>
    </row>
    <row r="137" spans="1:6" ht="12.75">
      <c r="A137" s="54"/>
      <c r="B137" s="54"/>
      <c r="F137" s="52"/>
    </row>
    <row r="138" spans="1:6" ht="12.75">
      <c r="A138" s="54"/>
      <c r="B138" s="54"/>
      <c r="F138" s="52"/>
    </row>
    <row r="139" spans="1:6" ht="12.75">
      <c r="A139" s="54"/>
      <c r="B139" s="54"/>
      <c r="F139" s="52"/>
    </row>
    <row r="140" spans="1:6" ht="12.75">
      <c r="A140" s="54"/>
      <c r="B140" s="54"/>
      <c r="F140" s="52"/>
    </row>
    <row r="141" spans="1:6" ht="12.75">
      <c r="A141" s="54"/>
      <c r="B141" s="54"/>
      <c r="F141" s="52"/>
    </row>
    <row r="142" spans="1:6" ht="12.75">
      <c r="A142" s="54"/>
      <c r="B142" s="54"/>
      <c r="F142" s="52"/>
    </row>
    <row r="143" spans="1:6" ht="12.75">
      <c r="A143" s="54"/>
      <c r="B143" s="54"/>
      <c r="F143" s="52"/>
    </row>
    <row r="144" spans="1:6" ht="12.75">
      <c r="A144" s="54"/>
      <c r="B144" s="54"/>
      <c r="F144" s="52"/>
    </row>
    <row r="145" spans="1:6" ht="12.75">
      <c r="A145" s="54"/>
      <c r="B145" s="54"/>
      <c r="F145" s="52"/>
    </row>
    <row r="146" spans="1:6" ht="12.75">
      <c r="A146" s="54"/>
      <c r="B146" s="54"/>
      <c r="F146" s="52"/>
    </row>
    <row r="147" spans="1:6" ht="12.75">
      <c r="A147" s="54"/>
      <c r="B147" s="54"/>
      <c r="F147" s="52"/>
    </row>
    <row r="148" spans="1:6" ht="12.75">
      <c r="A148" s="54"/>
      <c r="B148" s="54"/>
      <c r="F148" s="52"/>
    </row>
    <row r="149" spans="1:6" ht="12.75">
      <c r="A149" s="54"/>
      <c r="B149" s="54"/>
      <c r="F149" s="52"/>
    </row>
    <row r="150" spans="1:6" ht="12.75">
      <c r="A150" s="54"/>
      <c r="B150" s="54"/>
      <c r="F150" s="52"/>
    </row>
    <row r="151" spans="1:6" ht="12.75">
      <c r="A151" s="54"/>
      <c r="B151" s="54"/>
      <c r="F151" s="52"/>
    </row>
    <row r="152" spans="1:6" ht="12.75">
      <c r="A152" s="54"/>
      <c r="B152" s="54"/>
      <c r="F152" s="52"/>
    </row>
    <row r="153" spans="1:6" ht="12.75">
      <c r="A153" s="54"/>
      <c r="B153" s="54"/>
      <c r="F153" s="52"/>
    </row>
    <row r="154" spans="1:6" ht="12.75">
      <c r="A154" s="54"/>
      <c r="B154" s="54"/>
      <c r="F154" s="52"/>
    </row>
    <row r="155" spans="1:6" ht="12.75">
      <c r="A155" s="54"/>
      <c r="B155" s="54"/>
      <c r="F155" s="52"/>
    </row>
    <row r="156" spans="1:6" ht="12.75">
      <c r="A156" s="54"/>
      <c r="B156" s="54"/>
      <c r="F156" s="52"/>
    </row>
    <row r="157" spans="1:6" ht="12.75">
      <c r="A157" s="54"/>
      <c r="B157" s="54"/>
      <c r="F157" s="52"/>
    </row>
    <row r="158" spans="1:6" ht="12.75">
      <c r="A158" s="54"/>
      <c r="B158" s="54"/>
      <c r="F158" s="52"/>
    </row>
    <row r="159" spans="1:6" ht="12.75">
      <c r="A159" s="54"/>
      <c r="B159" s="54"/>
      <c r="F159" s="52"/>
    </row>
    <row r="160" spans="1:6" ht="12.75">
      <c r="A160" s="54"/>
      <c r="B160" s="54"/>
      <c r="F160" s="52"/>
    </row>
    <row r="161" spans="1:6" ht="12.75">
      <c r="A161" s="54"/>
      <c r="B161" s="54"/>
      <c r="F161" s="52"/>
    </row>
    <row r="162" spans="1:6" ht="12.75">
      <c r="A162" s="54"/>
      <c r="B162" s="54"/>
      <c r="F162" s="52"/>
    </row>
    <row r="163" spans="1:6" ht="12.75">
      <c r="A163" s="54"/>
      <c r="B163" s="54"/>
      <c r="F163" s="52"/>
    </row>
    <row r="164" spans="1:6" ht="12.75">
      <c r="A164" s="54"/>
      <c r="B164" s="54"/>
      <c r="F164" s="52"/>
    </row>
    <row r="165" spans="1:6" ht="12.75">
      <c r="A165" s="54"/>
      <c r="B165" s="54"/>
      <c r="F165" s="52"/>
    </row>
    <row r="166" spans="1:6" ht="12.75">
      <c r="A166" s="54"/>
      <c r="B166" s="54"/>
      <c r="F166" s="52"/>
    </row>
    <row r="167" spans="1:6" ht="12.75">
      <c r="A167" s="54"/>
      <c r="B167" s="54"/>
      <c r="F167" s="52"/>
    </row>
    <row r="168" spans="1:6" ht="12.75">
      <c r="A168" s="54"/>
      <c r="B168" s="54"/>
      <c r="F168" s="52"/>
    </row>
    <row r="169" spans="1:6" ht="12.75">
      <c r="A169" s="54"/>
      <c r="B169" s="54"/>
      <c r="F169" s="52"/>
    </row>
    <row r="170" spans="1:6" ht="12.75">
      <c r="A170" s="54"/>
      <c r="B170" s="54"/>
      <c r="F170" s="52"/>
    </row>
    <row r="171" spans="1:6" ht="12.75">
      <c r="A171" s="54"/>
      <c r="B171" s="54"/>
      <c r="F171" s="52"/>
    </row>
    <row r="172" spans="1:6" ht="12.75">
      <c r="A172" s="54"/>
      <c r="B172" s="54"/>
      <c r="F172" s="52"/>
    </row>
    <row r="173" spans="1:6" ht="12.75">
      <c r="A173" s="54"/>
      <c r="B173" s="54"/>
      <c r="F173" s="52"/>
    </row>
    <row r="174" spans="1:6" ht="12.75">
      <c r="A174" s="54"/>
      <c r="B174" s="54"/>
      <c r="F174" s="52"/>
    </row>
    <row r="175" spans="1:6" ht="12.75">
      <c r="A175" s="51"/>
      <c r="B175" s="51"/>
      <c r="F175" s="52"/>
    </row>
    <row r="176" spans="1:6" ht="12.75">
      <c r="A176" s="51"/>
      <c r="B176" s="51"/>
      <c r="F176" s="52"/>
    </row>
    <row r="177" spans="1:6" ht="12.75">
      <c r="A177" s="51"/>
      <c r="B177" s="51"/>
      <c r="F177" s="52"/>
    </row>
    <row r="178" spans="1:6" ht="12.75">
      <c r="A178" s="51"/>
      <c r="B178" s="51"/>
      <c r="F178" s="52"/>
    </row>
    <row r="179" spans="1:6" ht="12.75">
      <c r="A179" s="51"/>
      <c r="B179" s="51"/>
      <c r="F179" s="52"/>
    </row>
    <row r="180" spans="1:6" ht="12.75">
      <c r="A180" s="51"/>
      <c r="B180" s="51"/>
      <c r="F180" s="52"/>
    </row>
    <row r="181" spans="1:6" ht="12.75">
      <c r="A181" s="51"/>
      <c r="B181" s="51"/>
      <c r="F181" s="52"/>
    </row>
    <row r="182" spans="1:6" ht="12.75">
      <c r="A182" s="51"/>
      <c r="B182" s="51"/>
      <c r="F182" s="52"/>
    </row>
    <row r="183" spans="1:6" ht="12.75">
      <c r="A183" s="51"/>
      <c r="B183" s="51"/>
      <c r="F183" s="52"/>
    </row>
    <row r="184" spans="1:6" ht="12.75">
      <c r="A184" s="51"/>
      <c r="B184" s="51"/>
      <c r="F184" s="52"/>
    </row>
    <row r="185" spans="1:6" ht="12.75">
      <c r="A185" s="51"/>
      <c r="B185" s="51"/>
      <c r="F185" s="52"/>
    </row>
    <row r="186" spans="1:6" ht="12.75">
      <c r="A186" s="51"/>
      <c r="B186" s="51"/>
      <c r="F186" s="52"/>
    </row>
    <row r="187" spans="1:6" ht="12.75">
      <c r="A187" s="51"/>
      <c r="B187" s="51"/>
      <c r="F187" s="52"/>
    </row>
    <row r="188" spans="1:6" ht="12.75">
      <c r="A188" s="51"/>
      <c r="B188" s="51"/>
      <c r="F188" s="52"/>
    </row>
    <row r="189" spans="1:6" ht="12.75">
      <c r="A189" s="51"/>
      <c r="B189" s="51"/>
      <c r="F189" s="52"/>
    </row>
    <row r="190" spans="1:6" ht="12.75">
      <c r="A190" s="51"/>
      <c r="B190" s="51"/>
      <c r="F190" s="52"/>
    </row>
    <row r="191" spans="1:6" ht="12.75">
      <c r="A191" s="51"/>
      <c r="B191" s="51"/>
      <c r="F191" s="52"/>
    </row>
    <row r="192" spans="1:6" ht="12.75">
      <c r="A192" s="51"/>
      <c r="B192" s="51"/>
      <c r="F192" s="52"/>
    </row>
    <row r="193" spans="1:6" ht="12.75">
      <c r="A193" s="51"/>
      <c r="B193" s="51"/>
      <c r="F193" s="52"/>
    </row>
    <row r="194" spans="1:6" ht="12.75">
      <c r="A194" s="51"/>
      <c r="B194" s="51"/>
      <c r="F194" s="52"/>
    </row>
    <row r="195" spans="1:6" ht="12.75">
      <c r="A195" s="51"/>
      <c r="B195" s="51"/>
      <c r="F195" s="52"/>
    </row>
    <row r="196" spans="1:6" ht="12.75">
      <c r="A196" s="51"/>
      <c r="B196" s="51"/>
      <c r="F196" s="52"/>
    </row>
    <row r="197" spans="1:6" ht="12.75">
      <c r="A197" s="51"/>
      <c r="B197" s="51"/>
      <c r="F197" s="52"/>
    </row>
    <row r="198" spans="1:6" ht="12.75">
      <c r="A198" s="51"/>
      <c r="B198" s="51"/>
      <c r="F198" s="52"/>
    </row>
    <row r="199" spans="1:6" ht="12.75">
      <c r="A199" s="51"/>
      <c r="B199" s="51"/>
      <c r="F199" s="52"/>
    </row>
    <row r="200" spans="1:6" ht="12.75">
      <c r="A200" s="51"/>
      <c r="B200" s="51"/>
      <c r="F200" s="52"/>
    </row>
    <row r="201" spans="1:6" ht="12.75">
      <c r="A201" s="51"/>
      <c r="B201" s="51"/>
      <c r="F201" s="52"/>
    </row>
    <row r="202" spans="1:6" ht="12.75">
      <c r="A202" s="51"/>
      <c r="B202" s="51"/>
      <c r="F202" s="52"/>
    </row>
    <row r="203" spans="1:6" ht="12.75">
      <c r="A203" s="51"/>
      <c r="B203" s="51"/>
      <c r="F203" s="52"/>
    </row>
    <row r="204" spans="1:6" ht="12.75">
      <c r="A204" s="51"/>
      <c r="B204" s="51"/>
      <c r="F204" s="52"/>
    </row>
    <row r="205" spans="1:6" ht="12.75">
      <c r="A205" s="51"/>
      <c r="B205" s="51"/>
      <c r="F205" s="52"/>
    </row>
    <row r="206" spans="1:6" ht="12.75">
      <c r="A206" s="51"/>
      <c r="B206" s="51"/>
      <c r="F206" s="52"/>
    </row>
    <row r="207" spans="1:6" ht="12.75">
      <c r="A207" s="51"/>
      <c r="B207" s="51"/>
      <c r="F207" s="52"/>
    </row>
    <row r="208" spans="1:6" ht="12.75">
      <c r="A208" s="51"/>
      <c r="B208" s="51"/>
      <c r="F208" s="52"/>
    </row>
    <row r="209" spans="1:6" ht="12.75">
      <c r="A209" s="51"/>
      <c r="B209" s="51"/>
      <c r="F209" s="52"/>
    </row>
    <row r="210" spans="1:6" ht="12.75">
      <c r="A210" s="51"/>
      <c r="B210" s="51"/>
      <c r="F210" s="52"/>
    </row>
    <row r="211" spans="1:6" ht="12.75">
      <c r="A211" s="51"/>
      <c r="B211" s="51"/>
      <c r="F211" s="52"/>
    </row>
    <row r="212" spans="1:6" ht="12.75">
      <c r="A212" s="51"/>
      <c r="B212" s="51"/>
      <c r="F212" s="52"/>
    </row>
    <row r="213" spans="1:6" ht="12.75">
      <c r="A213" s="51"/>
      <c r="B213" s="51"/>
      <c r="F213" s="52"/>
    </row>
    <row r="214" spans="1:6" ht="12.75">
      <c r="A214" s="51"/>
      <c r="B214" s="51"/>
      <c r="F214" s="52"/>
    </row>
    <row r="215" spans="1:6" ht="12.75">
      <c r="A215" s="51"/>
      <c r="B215" s="51"/>
      <c r="F215" s="52"/>
    </row>
    <row r="216" spans="1:6" ht="12.75">
      <c r="A216" s="51"/>
      <c r="B216" s="51"/>
      <c r="F216" s="52"/>
    </row>
    <row r="217" spans="1:6" ht="12.75">
      <c r="A217" s="51"/>
      <c r="B217" s="51"/>
      <c r="F217" s="52"/>
    </row>
    <row r="218" spans="1:6" ht="12.75">
      <c r="A218" s="51"/>
      <c r="B218" s="51"/>
      <c r="F218" s="52"/>
    </row>
    <row r="219" spans="1:6" ht="12.75">
      <c r="A219" s="51"/>
      <c r="B219" s="51"/>
      <c r="F219" s="52"/>
    </row>
    <row r="220" spans="1:6" ht="12.75">
      <c r="A220" s="51"/>
      <c r="B220" s="51"/>
      <c r="F220" s="52"/>
    </row>
    <row r="221" spans="1:6" ht="12.75">
      <c r="A221" s="51"/>
      <c r="B221" s="51"/>
      <c r="F221" s="52"/>
    </row>
    <row r="222" spans="1:6" ht="12.75">
      <c r="A222" s="51"/>
      <c r="B222" s="51"/>
      <c r="F222" s="52"/>
    </row>
    <row r="223" spans="1:6" ht="12.75">
      <c r="A223" s="51"/>
      <c r="B223" s="51"/>
      <c r="F223" s="52"/>
    </row>
    <row r="224" spans="1:6" ht="12.75">
      <c r="A224" s="51"/>
      <c r="B224" s="51"/>
      <c r="F224" s="52"/>
    </row>
    <row r="225" spans="1:6" ht="12.75">
      <c r="A225" s="51"/>
      <c r="B225" s="51"/>
      <c r="F225" s="52"/>
    </row>
    <row r="226" spans="1:6" ht="12.75">
      <c r="A226" s="51"/>
      <c r="B226" s="51"/>
      <c r="F226" s="52"/>
    </row>
    <row r="227" spans="1:6" ht="12.75">
      <c r="A227" s="51"/>
      <c r="B227" s="51"/>
      <c r="F227" s="52"/>
    </row>
    <row r="228" spans="1:6" ht="12.75">
      <c r="A228" s="51"/>
      <c r="B228" s="51"/>
      <c r="F228" s="52"/>
    </row>
    <row r="229" spans="1:6" ht="12.75">
      <c r="A229" s="51"/>
      <c r="B229" s="51"/>
      <c r="F229" s="52"/>
    </row>
    <row r="230" spans="1:6" ht="12.75">
      <c r="A230" s="51"/>
      <c r="B230" s="51"/>
      <c r="F230" s="52"/>
    </row>
    <row r="231" spans="1:6" ht="12.75">
      <c r="A231" s="51"/>
      <c r="B231" s="51"/>
      <c r="F231" s="52"/>
    </row>
    <row r="232" spans="1:6" ht="12.75">
      <c r="A232" s="51"/>
      <c r="B232" s="51"/>
      <c r="F232" s="52"/>
    </row>
    <row r="233" spans="1:6" ht="12.75">
      <c r="A233" s="51"/>
      <c r="B233" s="51"/>
      <c r="F233" s="52"/>
    </row>
    <row r="234" spans="1:6" ht="12.75">
      <c r="A234" s="51"/>
      <c r="B234" s="51"/>
      <c r="F234" s="52"/>
    </row>
    <row r="235" spans="1:6" ht="12.75">
      <c r="A235" s="51"/>
      <c r="B235" s="51"/>
      <c r="F235" s="52"/>
    </row>
    <row r="236" spans="1:6" ht="12.75">
      <c r="A236" s="51"/>
      <c r="B236" s="51"/>
      <c r="F236" s="52"/>
    </row>
    <row r="237" spans="1:6" ht="12.75">
      <c r="A237" s="51"/>
      <c r="B237" s="51"/>
      <c r="F237" s="52"/>
    </row>
    <row r="238" spans="1:6" ht="12.75">
      <c r="A238" s="51"/>
      <c r="B238" s="51"/>
      <c r="F238" s="52"/>
    </row>
    <row r="239" spans="1:6" ht="12.75">
      <c r="A239" s="51"/>
      <c r="B239" s="51"/>
      <c r="F239" s="52"/>
    </row>
    <row r="240" spans="1:6" ht="12.75">
      <c r="A240" s="51"/>
      <c r="B240" s="51"/>
      <c r="F240" s="52"/>
    </row>
    <row r="241" spans="1:6" ht="12.75">
      <c r="A241" s="51"/>
      <c r="B241" s="51"/>
      <c r="F241" s="52"/>
    </row>
    <row r="242" spans="1:6" ht="12.75">
      <c r="A242" s="51"/>
      <c r="B242" s="51"/>
      <c r="F242" s="52"/>
    </row>
    <row r="243" spans="1:6" ht="12.75">
      <c r="A243" s="51"/>
      <c r="B243" s="51"/>
      <c r="F243" s="52"/>
    </row>
    <row r="244" spans="1:6" ht="12.75">
      <c r="A244" s="51"/>
      <c r="B244" s="51"/>
      <c r="F244" s="52"/>
    </row>
    <row r="245" spans="1:6" ht="12.75">
      <c r="A245" s="51"/>
      <c r="B245" s="51"/>
      <c r="F245" s="52"/>
    </row>
    <row r="246" spans="1:6" ht="12.75">
      <c r="A246" s="51"/>
      <c r="B246" s="51"/>
      <c r="F246" s="52"/>
    </row>
    <row r="247" spans="1:6" ht="12.75">
      <c r="A247" s="51"/>
      <c r="B247" s="51"/>
      <c r="F247" s="52"/>
    </row>
    <row r="248" spans="1:6" ht="12.75">
      <c r="A248" s="51"/>
      <c r="B248" s="51"/>
      <c r="F248" s="52"/>
    </row>
    <row r="249" spans="1:6" ht="12.75">
      <c r="A249" s="51"/>
      <c r="B249" s="51"/>
      <c r="F249" s="52"/>
    </row>
    <row r="250" spans="1:6" ht="12.75">
      <c r="A250" s="51"/>
      <c r="B250" s="51"/>
      <c r="F250" s="52"/>
    </row>
    <row r="251" spans="1:6" ht="12.75">
      <c r="A251" s="51"/>
      <c r="B251" s="51"/>
      <c r="F251" s="52"/>
    </row>
    <row r="252" spans="1:6" ht="12.75">
      <c r="A252" s="51"/>
      <c r="B252" s="51"/>
      <c r="F252" s="52"/>
    </row>
    <row r="253" spans="1:6" ht="12.75">
      <c r="A253" s="51"/>
      <c r="B253" s="51"/>
      <c r="F253" s="52"/>
    </row>
    <row r="254" spans="1:6" ht="12.75">
      <c r="A254" s="51"/>
      <c r="B254" s="51"/>
      <c r="F254" s="52"/>
    </row>
    <row r="255" spans="1:6" ht="12.75">
      <c r="A255" s="51"/>
      <c r="B255" s="51"/>
      <c r="F255" s="52"/>
    </row>
    <row r="256" spans="1:6" ht="12.75">
      <c r="A256" s="51"/>
      <c r="B256" s="51"/>
      <c r="F256" s="52"/>
    </row>
    <row r="257" spans="1:6" ht="12.75">
      <c r="A257" s="51"/>
      <c r="B257" s="51"/>
      <c r="F257" s="52"/>
    </row>
    <row r="258" spans="1:6" ht="12.75">
      <c r="A258" s="51"/>
      <c r="B258" s="51"/>
      <c r="F258" s="52"/>
    </row>
    <row r="259" spans="1:6" ht="12.75">
      <c r="A259" s="51"/>
      <c r="B259" s="51"/>
      <c r="F259" s="52"/>
    </row>
    <row r="260" spans="1:6" ht="12.75">
      <c r="A260" s="51"/>
      <c r="B260" s="51"/>
      <c r="F260" s="52"/>
    </row>
    <row r="261" spans="1:6" ht="12.75">
      <c r="A261" s="51"/>
      <c r="B261" s="51"/>
      <c r="F261" s="52"/>
    </row>
    <row r="262" spans="1:6" ht="12.75">
      <c r="A262" s="51"/>
      <c r="B262" s="51"/>
      <c r="F262" s="52"/>
    </row>
    <row r="263" spans="1:6" ht="12.75">
      <c r="A263" s="51"/>
      <c r="B263" s="51"/>
      <c r="F263" s="52"/>
    </row>
    <row r="264" spans="1:6" ht="12.75">
      <c r="A264" s="51"/>
      <c r="B264" s="51"/>
      <c r="F264" s="52"/>
    </row>
    <row r="265" spans="1:6" ht="12.75">
      <c r="A265" s="51"/>
      <c r="B265" s="51"/>
      <c r="F265" s="52"/>
    </row>
    <row r="266" spans="1:6" ht="12.75">
      <c r="A266" s="51"/>
      <c r="B266" s="51"/>
      <c r="F266" s="52"/>
    </row>
    <row r="267" spans="1:6" ht="12.75">
      <c r="A267" s="51"/>
      <c r="B267" s="51"/>
      <c r="F267" s="52"/>
    </row>
    <row r="268" spans="1:6" ht="12.75">
      <c r="A268" s="51"/>
      <c r="B268" s="51"/>
      <c r="F268" s="52"/>
    </row>
    <row r="269" spans="1:6" ht="12.75">
      <c r="A269" s="51"/>
      <c r="B269" s="51"/>
      <c r="F269" s="52"/>
    </row>
    <row r="270" spans="1:6" ht="12.75">
      <c r="A270" s="51"/>
      <c r="B270" s="51"/>
      <c r="F270" s="52"/>
    </row>
    <row r="271" spans="1:6" ht="12.75">
      <c r="A271" s="51"/>
      <c r="B271" s="51"/>
      <c r="F271" s="52"/>
    </row>
    <row r="272" spans="1:6" ht="12.75">
      <c r="A272" s="51"/>
      <c r="B272" s="51"/>
      <c r="F272" s="52"/>
    </row>
    <row r="273" spans="1:6" ht="12.75">
      <c r="A273" s="51"/>
      <c r="B273" s="51"/>
      <c r="F273" s="52"/>
    </row>
    <row r="274" spans="1:6" ht="12.75">
      <c r="A274" s="51"/>
      <c r="B274" s="51"/>
      <c r="F274" s="52"/>
    </row>
    <row r="275" spans="1:6" ht="12.75">
      <c r="A275" s="51"/>
      <c r="B275" s="51"/>
      <c r="F275" s="52"/>
    </row>
    <row r="276" spans="1:6" ht="12.75">
      <c r="A276" s="51"/>
      <c r="B276" s="51"/>
      <c r="F276" s="52"/>
    </row>
    <row r="277" spans="1:6" ht="12.75">
      <c r="A277" s="51"/>
      <c r="B277" s="51"/>
      <c r="F277" s="52"/>
    </row>
    <row r="278" spans="1:6" ht="12.75">
      <c r="A278" s="51"/>
      <c r="B278" s="51"/>
      <c r="F278" s="52"/>
    </row>
    <row r="279" spans="1:6" ht="12.75">
      <c r="A279" s="51"/>
      <c r="B279" s="51"/>
      <c r="F279" s="52"/>
    </row>
    <row r="280" spans="1:6" ht="12.75">
      <c r="A280" s="51"/>
      <c r="B280" s="51"/>
      <c r="F280" s="52"/>
    </row>
    <row r="281" spans="1:6" ht="12.75">
      <c r="A281" s="51"/>
      <c r="B281" s="51"/>
      <c r="F281" s="52"/>
    </row>
    <row r="282" spans="1:6" ht="12.75">
      <c r="A282" s="51"/>
      <c r="B282" s="51"/>
      <c r="F282" s="52"/>
    </row>
    <row r="283" spans="1:6" ht="12.75">
      <c r="A283" s="51"/>
      <c r="B283" s="51"/>
      <c r="F283" s="52"/>
    </row>
    <row r="284" spans="1:6" ht="12.75">
      <c r="A284" s="51"/>
      <c r="B284" s="51"/>
      <c r="F284" s="52"/>
    </row>
    <row r="285" spans="1:6" ht="12.75">
      <c r="A285" s="51"/>
      <c r="B285" s="51"/>
      <c r="F285" s="52"/>
    </row>
    <row r="286" spans="1:6" ht="12.75">
      <c r="A286" s="51"/>
      <c r="B286" s="51"/>
      <c r="F286" s="52"/>
    </row>
  </sheetData>
  <sheetProtection sheet="1" objects="1" scenarios="1" selectLockedCells="1"/>
  <mergeCells count="18">
    <mergeCell ref="B10:C11"/>
    <mergeCell ref="A7:B7"/>
    <mergeCell ref="A83:H83"/>
    <mergeCell ref="A82:H82"/>
    <mergeCell ref="D78:E78"/>
    <mergeCell ref="D79:E79"/>
    <mergeCell ref="D80:E80"/>
    <mergeCell ref="D77:E77"/>
    <mergeCell ref="A3:H3"/>
    <mergeCell ref="C4:G4"/>
    <mergeCell ref="C5:G5"/>
    <mergeCell ref="H10:H11"/>
    <mergeCell ref="E6:F6"/>
    <mergeCell ref="A10:A11"/>
    <mergeCell ref="D10:D11"/>
    <mergeCell ref="E10:E11"/>
    <mergeCell ref="F10:F11"/>
    <mergeCell ref="A8:C8"/>
  </mergeCells>
  <printOptions horizontalCentered="1"/>
  <pageMargins left="0.17" right="0.1968503937007874" top="0.14" bottom="0.11811023622047245" header="0" footer="0"/>
  <pageSetup fitToHeight="1" fitToWidth="1" horizontalDpi="600" verticalDpi="600" orientation="portrait" paperSize="9" scale="80" r:id="rId3"/>
  <drawing r:id="rId2"/>
  <legacyDrawing r:id="rId1"/>
</worksheet>
</file>

<file path=xl/worksheets/sheet12.xml><?xml version="1.0" encoding="utf-8"?>
<worksheet xmlns="http://schemas.openxmlformats.org/spreadsheetml/2006/main" xmlns:r="http://schemas.openxmlformats.org/officeDocument/2006/relationships">
  <sheetPr codeName="Лист10"/>
  <dimension ref="A1:F57"/>
  <sheetViews>
    <sheetView showGridLines="0" showRowColHeader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172" customWidth="1"/>
    <col min="2" max="2" width="5.00390625" style="172" customWidth="1"/>
    <col min="3" max="3" width="21.00390625" style="172" customWidth="1"/>
    <col min="4" max="4" width="12.25390625" style="172" customWidth="1"/>
    <col min="5" max="5" width="12.00390625" style="172" customWidth="1"/>
    <col min="6" max="6" width="28.375" style="172" customWidth="1"/>
    <col min="7" max="16384" width="9.125" style="172" customWidth="1"/>
  </cols>
  <sheetData>
    <row r="1" spans="1:6" ht="30" customHeight="1">
      <c r="A1" s="747" t="s">
        <v>82</v>
      </c>
      <c r="B1" s="747"/>
      <c r="C1" s="747"/>
      <c r="D1" s="747"/>
      <c r="E1" s="747"/>
      <c r="F1" s="747"/>
    </row>
    <row r="2" spans="1:6" ht="12.75" customHeight="1" hidden="1">
      <c r="A2" s="748"/>
      <c r="B2" s="748"/>
      <c r="C2" s="748"/>
      <c r="D2" s="748"/>
      <c r="E2" s="748"/>
      <c r="F2" s="748"/>
    </row>
    <row r="3" spans="1:6" ht="12.75" customHeight="1">
      <c r="A3" s="749" t="str">
        <f>UPPER(Установка!C3)</f>
        <v>"КУБОК ЮЖНОГО УРАЛА"</v>
      </c>
      <c r="B3" s="749"/>
      <c r="C3" s="749"/>
      <c r="D3" s="749"/>
      <c r="E3" s="749"/>
      <c r="F3" s="749"/>
    </row>
    <row r="4" spans="1:6" ht="12.75">
      <c r="A4" s="750" t="s">
        <v>52</v>
      </c>
      <c r="B4" s="750"/>
      <c r="C4" s="750"/>
      <c r="D4" s="750"/>
      <c r="E4" s="750"/>
      <c r="F4" s="750"/>
    </row>
    <row r="5" spans="1:6" s="173" customFormat="1" ht="45">
      <c r="A5" s="47" t="s">
        <v>65</v>
      </c>
      <c r="B5" s="235" t="s">
        <v>83</v>
      </c>
      <c r="C5" s="171" t="s">
        <v>5</v>
      </c>
      <c r="D5" s="230" t="s">
        <v>28</v>
      </c>
      <c r="E5" s="171" t="s">
        <v>66</v>
      </c>
      <c r="F5" s="171" t="s">
        <v>67</v>
      </c>
    </row>
    <row r="6" spans="1:6" ht="12.75" customHeight="1">
      <c r="A6" s="63">
        <f>ROW()-5</f>
        <v>1</v>
      </c>
      <c r="B6" s="261">
        <v>34581</v>
      </c>
      <c r="C6" s="262" t="s">
        <v>194</v>
      </c>
      <c r="D6" s="263" t="s">
        <v>172</v>
      </c>
      <c r="E6" s="264">
        <v>42491</v>
      </c>
      <c r="F6" s="265" t="s">
        <v>195</v>
      </c>
    </row>
    <row r="7" spans="1:6" ht="12.75" customHeight="1">
      <c r="A7" s="63">
        <f aca="true" t="shared" si="0" ref="A7:A16">ROW()-5</f>
        <v>2</v>
      </c>
      <c r="B7" s="261">
        <v>28353</v>
      </c>
      <c r="C7" s="262" t="s">
        <v>196</v>
      </c>
      <c r="D7" s="263" t="s">
        <v>172</v>
      </c>
      <c r="E7" s="264">
        <v>42491</v>
      </c>
      <c r="F7" s="266" t="s">
        <v>195</v>
      </c>
    </row>
    <row r="8" spans="1:6" ht="12.75" customHeight="1">
      <c r="A8" s="63">
        <f t="shared" si="0"/>
        <v>3</v>
      </c>
      <c r="B8" s="261"/>
      <c r="C8" s="262"/>
      <c r="D8" s="263"/>
      <c r="E8" s="264"/>
      <c r="F8" s="266"/>
    </row>
    <row r="9" spans="1:6" ht="12.75" customHeight="1">
      <c r="A9" s="63">
        <f t="shared" si="0"/>
        <v>4</v>
      </c>
      <c r="B9" s="261"/>
      <c r="C9" s="262"/>
      <c r="D9" s="263"/>
      <c r="E9" s="264"/>
      <c r="F9" s="266"/>
    </row>
    <row r="10" spans="1:6" ht="12.75" customHeight="1">
      <c r="A10" s="63">
        <f t="shared" si="0"/>
        <v>5</v>
      </c>
      <c r="B10" s="261"/>
      <c r="C10" s="262"/>
      <c r="D10" s="263"/>
      <c r="E10" s="264"/>
      <c r="F10" s="266"/>
    </row>
    <row r="11" spans="1:6" ht="12.75" customHeight="1">
      <c r="A11" s="63">
        <f t="shared" si="0"/>
        <v>6</v>
      </c>
      <c r="B11" s="261"/>
      <c r="C11" s="262"/>
      <c r="D11" s="263"/>
      <c r="E11" s="264"/>
      <c r="F11" s="266"/>
    </row>
    <row r="12" spans="1:6" ht="12.75" customHeight="1">
      <c r="A12" s="63">
        <f t="shared" si="0"/>
        <v>7</v>
      </c>
      <c r="B12" s="261"/>
      <c r="C12" s="262"/>
      <c r="D12" s="263"/>
      <c r="E12" s="267"/>
      <c r="F12" s="266"/>
    </row>
    <row r="13" spans="1:6" ht="12.75" customHeight="1">
      <c r="A13" s="63">
        <f t="shared" si="0"/>
        <v>8</v>
      </c>
      <c r="B13" s="261"/>
      <c r="C13" s="262"/>
      <c r="D13" s="263"/>
      <c r="E13" s="267"/>
      <c r="F13" s="266"/>
    </row>
    <row r="14" spans="1:6" s="174" customFormat="1" ht="12.75" customHeight="1">
      <c r="A14" s="63">
        <f t="shared" si="0"/>
        <v>9</v>
      </c>
      <c r="B14" s="261"/>
      <c r="C14" s="262"/>
      <c r="D14" s="263"/>
      <c r="E14" s="267"/>
      <c r="F14" s="266"/>
    </row>
    <row r="15" spans="1:6" s="174" customFormat="1" ht="12.75" customHeight="1">
      <c r="A15" s="63">
        <f t="shared" si="0"/>
        <v>10</v>
      </c>
      <c r="B15" s="261"/>
      <c r="C15" s="262"/>
      <c r="D15" s="263"/>
      <c r="E15" s="267"/>
      <c r="F15" s="266"/>
    </row>
    <row r="16" spans="1:6" ht="12.75" customHeight="1">
      <c r="A16" s="63">
        <f t="shared" si="0"/>
        <v>11</v>
      </c>
      <c r="B16" s="261"/>
      <c r="C16" s="262"/>
      <c r="D16" s="263"/>
      <c r="E16" s="264"/>
      <c r="F16" s="266"/>
    </row>
    <row r="17" spans="1:6" ht="12.75" customHeight="1">
      <c r="A17" s="63">
        <f aca="true" t="shared" si="1" ref="A17:A26">ROW()-5</f>
        <v>12</v>
      </c>
      <c r="B17" s="261"/>
      <c r="C17" s="262"/>
      <c r="D17" s="263"/>
      <c r="E17" s="264"/>
      <c r="F17" s="266"/>
    </row>
    <row r="18" spans="1:6" ht="12.75" customHeight="1">
      <c r="A18" s="63">
        <f t="shared" si="1"/>
        <v>13</v>
      </c>
      <c r="B18" s="261"/>
      <c r="C18" s="262"/>
      <c r="D18" s="263"/>
      <c r="E18" s="264"/>
      <c r="F18" s="266"/>
    </row>
    <row r="19" spans="1:6" ht="12.75" customHeight="1">
      <c r="A19" s="63">
        <f t="shared" si="1"/>
        <v>14</v>
      </c>
      <c r="B19" s="261"/>
      <c r="C19" s="262"/>
      <c r="D19" s="263"/>
      <c r="E19" s="264"/>
      <c r="F19" s="266"/>
    </row>
    <row r="20" spans="1:6" ht="12.75" customHeight="1">
      <c r="A20" s="63">
        <f t="shared" si="1"/>
        <v>15</v>
      </c>
      <c r="B20" s="261"/>
      <c r="C20" s="262"/>
      <c r="D20" s="263"/>
      <c r="E20" s="264"/>
      <c r="F20" s="266"/>
    </row>
    <row r="21" spans="1:6" ht="12.75" customHeight="1">
      <c r="A21" s="63">
        <f t="shared" si="1"/>
        <v>16</v>
      </c>
      <c r="B21" s="261"/>
      <c r="C21" s="262"/>
      <c r="D21" s="263"/>
      <c r="E21" s="264"/>
      <c r="F21" s="266"/>
    </row>
    <row r="22" spans="1:6" ht="12.75" customHeight="1">
      <c r="A22" s="63">
        <f t="shared" si="1"/>
        <v>17</v>
      </c>
      <c r="B22" s="261"/>
      <c r="C22" s="262"/>
      <c r="D22" s="263"/>
      <c r="E22" s="267"/>
      <c r="F22" s="266"/>
    </row>
    <row r="23" spans="1:6" ht="12.75" customHeight="1">
      <c r="A23" s="63">
        <f t="shared" si="1"/>
        <v>18</v>
      </c>
      <c r="B23" s="261"/>
      <c r="C23" s="262"/>
      <c r="D23" s="263"/>
      <c r="E23" s="267"/>
      <c r="F23" s="266"/>
    </row>
    <row r="24" spans="1:6" s="174" customFormat="1" ht="12.75" customHeight="1">
      <c r="A24" s="63">
        <f t="shared" si="1"/>
        <v>19</v>
      </c>
      <c r="B24" s="261"/>
      <c r="C24" s="262"/>
      <c r="D24" s="263"/>
      <c r="E24" s="267"/>
      <c r="F24" s="266"/>
    </row>
    <row r="25" spans="1:6" s="174" customFormat="1" ht="12.75" customHeight="1">
      <c r="A25" s="63">
        <f t="shared" si="1"/>
        <v>20</v>
      </c>
      <c r="B25" s="261"/>
      <c r="C25" s="262"/>
      <c r="D25" s="263"/>
      <c r="E25" s="267"/>
      <c r="F25" s="266"/>
    </row>
    <row r="26" spans="1:6" ht="12.75" customHeight="1">
      <c r="A26" s="63">
        <f t="shared" si="1"/>
        <v>21</v>
      </c>
      <c r="B26" s="261"/>
      <c r="C26" s="262"/>
      <c r="D26" s="263"/>
      <c r="E26" s="264"/>
      <c r="F26" s="266"/>
    </row>
    <row r="27" spans="1:6" ht="12.75" customHeight="1">
      <c r="A27" s="63">
        <f aca="true" t="shared" si="2" ref="A27:A36">ROW()-5</f>
        <v>22</v>
      </c>
      <c r="B27" s="261"/>
      <c r="C27" s="262"/>
      <c r="D27" s="263"/>
      <c r="E27" s="264"/>
      <c r="F27" s="266"/>
    </row>
    <row r="28" spans="1:6" ht="12.75" customHeight="1">
      <c r="A28" s="63">
        <f t="shared" si="2"/>
        <v>23</v>
      </c>
      <c r="B28" s="261"/>
      <c r="C28" s="262"/>
      <c r="D28" s="263"/>
      <c r="E28" s="264"/>
      <c r="F28" s="266"/>
    </row>
    <row r="29" spans="1:6" ht="12.75" customHeight="1">
      <c r="A29" s="63">
        <f t="shared" si="2"/>
        <v>24</v>
      </c>
      <c r="B29" s="261"/>
      <c r="C29" s="262"/>
      <c r="D29" s="263"/>
      <c r="E29" s="264"/>
      <c r="F29" s="266"/>
    </row>
    <row r="30" spans="1:6" ht="12.75" customHeight="1">
      <c r="A30" s="63">
        <f t="shared" si="2"/>
        <v>25</v>
      </c>
      <c r="B30" s="261"/>
      <c r="C30" s="262"/>
      <c r="D30" s="263"/>
      <c r="E30" s="264"/>
      <c r="F30" s="266"/>
    </row>
    <row r="31" spans="1:6" ht="12.75" customHeight="1">
      <c r="A31" s="63">
        <f t="shared" si="2"/>
        <v>26</v>
      </c>
      <c r="B31" s="261"/>
      <c r="C31" s="262"/>
      <c r="D31" s="263"/>
      <c r="E31" s="264"/>
      <c r="F31" s="266"/>
    </row>
    <row r="32" spans="1:6" ht="12.75" customHeight="1">
      <c r="A32" s="63">
        <f t="shared" si="2"/>
        <v>27</v>
      </c>
      <c r="B32" s="261"/>
      <c r="C32" s="262"/>
      <c r="D32" s="263"/>
      <c r="E32" s="267"/>
      <c r="F32" s="266"/>
    </row>
    <row r="33" spans="1:6" ht="12.75" customHeight="1">
      <c r="A33" s="63">
        <f t="shared" si="2"/>
        <v>28</v>
      </c>
      <c r="B33" s="261"/>
      <c r="C33" s="262"/>
      <c r="D33" s="263"/>
      <c r="E33" s="267"/>
      <c r="F33" s="266"/>
    </row>
    <row r="34" spans="1:6" s="174" customFormat="1" ht="12.75" customHeight="1">
      <c r="A34" s="63">
        <f t="shared" si="2"/>
        <v>29</v>
      </c>
      <c r="B34" s="261"/>
      <c r="C34" s="262"/>
      <c r="D34" s="263"/>
      <c r="E34" s="267"/>
      <c r="F34" s="266"/>
    </row>
    <row r="35" spans="1:6" s="174" customFormat="1" ht="12.75" customHeight="1">
      <c r="A35" s="63">
        <f t="shared" si="2"/>
        <v>30</v>
      </c>
      <c r="B35" s="261"/>
      <c r="C35" s="262"/>
      <c r="D35" s="263"/>
      <c r="E35" s="267"/>
      <c r="F35" s="266"/>
    </row>
    <row r="36" spans="1:6" ht="12.75" customHeight="1">
      <c r="A36" s="63">
        <f t="shared" si="2"/>
        <v>31</v>
      </c>
      <c r="B36" s="261"/>
      <c r="C36" s="262"/>
      <c r="D36" s="263"/>
      <c r="E36" s="264"/>
      <c r="F36" s="266"/>
    </row>
    <row r="37" spans="1:6" ht="12.75" customHeight="1">
      <c r="A37" s="63">
        <f aca="true" t="shared" si="3" ref="A37:A55">ROW()-5</f>
        <v>32</v>
      </c>
      <c r="B37" s="261"/>
      <c r="C37" s="262"/>
      <c r="D37" s="263"/>
      <c r="E37" s="264"/>
      <c r="F37" s="266"/>
    </row>
    <row r="38" spans="1:6" ht="12.75" customHeight="1">
      <c r="A38" s="63">
        <f t="shared" si="3"/>
        <v>33</v>
      </c>
      <c r="B38" s="261"/>
      <c r="C38" s="262"/>
      <c r="D38" s="263"/>
      <c r="E38" s="264"/>
      <c r="F38" s="266"/>
    </row>
    <row r="39" spans="1:6" ht="12.75" customHeight="1">
      <c r="A39" s="63">
        <f t="shared" si="3"/>
        <v>34</v>
      </c>
      <c r="B39" s="261"/>
      <c r="C39" s="262"/>
      <c r="D39" s="263"/>
      <c r="E39" s="264"/>
      <c r="F39" s="266"/>
    </row>
    <row r="40" spans="1:6" ht="12.75" customHeight="1">
      <c r="A40" s="63">
        <f t="shared" si="3"/>
        <v>35</v>
      </c>
      <c r="B40" s="261"/>
      <c r="C40" s="262"/>
      <c r="D40" s="263"/>
      <c r="E40" s="264"/>
      <c r="F40" s="266"/>
    </row>
    <row r="41" spans="1:6" ht="12.75" customHeight="1">
      <c r="A41" s="63">
        <f t="shared" si="3"/>
        <v>36</v>
      </c>
      <c r="B41" s="261"/>
      <c r="C41" s="262"/>
      <c r="D41" s="263"/>
      <c r="E41" s="264"/>
      <c r="F41" s="266"/>
    </row>
    <row r="42" spans="1:6" ht="12.75" customHeight="1">
      <c r="A42" s="63">
        <f t="shared" si="3"/>
        <v>37</v>
      </c>
      <c r="B42" s="261"/>
      <c r="C42" s="262"/>
      <c r="D42" s="263"/>
      <c r="E42" s="267"/>
      <c r="F42" s="266"/>
    </row>
    <row r="43" spans="1:6" ht="12.75" customHeight="1">
      <c r="A43" s="63">
        <f t="shared" si="3"/>
        <v>38</v>
      </c>
      <c r="B43" s="261"/>
      <c r="C43" s="262"/>
      <c r="D43" s="263"/>
      <c r="E43" s="267"/>
      <c r="F43" s="266"/>
    </row>
    <row r="44" spans="1:6" s="174" customFormat="1" ht="12.75" customHeight="1">
      <c r="A44" s="63">
        <f t="shared" si="3"/>
        <v>39</v>
      </c>
      <c r="B44" s="261"/>
      <c r="C44" s="262"/>
      <c r="D44" s="263"/>
      <c r="E44" s="267"/>
      <c r="F44" s="266"/>
    </row>
    <row r="45" spans="1:6" s="174" customFormat="1" ht="12.75" customHeight="1">
      <c r="A45" s="63">
        <f t="shared" si="3"/>
        <v>40</v>
      </c>
      <c r="B45" s="261"/>
      <c r="C45" s="262"/>
      <c r="D45" s="263"/>
      <c r="E45" s="267"/>
      <c r="F45" s="266"/>
    </row>
    <row r="46" spans="1:6" ht="12.75" customHeight="1">
      <c r="A46" s="63">
        <f t="shared" si="3"/>
        <v>41</v>
      </c>
      <c r="B46" s="261"/>
      <c r="C46" s="262"/>
      <c r="D46" s="263"/>
      <c r="E46" s="264"/>
      <c r="F46" s="266"/>
    </row>
    <row r="47" spans="1:6" ht="12.75" customHeight="1">
      <c r="A47" s="63">
        <f t="shared" si="3"/>
        <v>42</v>
      </c>
      <c r="B47" s="261"/>
      <c r="C47" s="262"/>
      <c r="D47" s="263"/>
      <c r="E47" s="264"/>
      <c r="F47" s="266"/>
    </row>
    <row r="48" spans="1:6" ht="12.75" customHeight="1">
      <c r="A48" s="63">
        <f t="shared" si="3"/>
        <v>43</v>
      </c>
      <c r="B48" s="261"/>
      <c r="C48" s="262"/>
      <c r="D48" s="263"/>
      <c r="E48" s="264"/>
      <c r="F48" s="266"/>
    </row>
    <row r="49" spans="1:6" ht="12.75" customHeight="1">
      <c r="A49" s="63">
        <f t="shared" si="3"/>
        <v>44</v>
      </c>
      <c r="B49" s="261"/>
      <c r="C49" s="262"/>
      <c r="D49" s="263"/>
      <c r="E49" s="264"/>
      <c r="F49" s="266"/>
    </row>
    <row r="50" spans="1:6" ht="12.75" customHeight="1">
      <c r="A50" s="63">
        <f t="shared" si="3"/>
        <v>45</v>
      </c>
      <c r="B50" s="261"/>
      <c r="C50" s="262"/>
      <c r="D50" s="263"/>
      <c r="E50" s="267"/>
      <c r="F50" s="266"/>
    </row>
    <row r="51" spans="1:6" ht="12.75" customHeight="1">
      <c r="A51" s="63">
        <f t="shared" si="3"/>
        <v>46</v>
      </c>
      <c r="B51" s="261"/>
      <c r="C51" s="262"/>
      <c r="D51" s="263"/>
      <c r="E51" s="267"/>
      <c r="F51" s="266"/>
    </row>
    <row r="52" spans="1:6" ht="12.75" customHeight="1">
      <c r="A52" s="63">
        <f t="shared" si="3"/>
        <v>47</v>
      </c>
      <c r="B52" s="261"/>
      <c r="C52" s="262"/>
      <c r="D52" s="263"/>
      <c r="E52" s="267"/>
      <c r="F52" s="266"/>
    </row>
    <row r="53" spans="1:6" ht="12.75" customHeight="1">
      <c r="A53" s="63">
        <f t="shared" si="3"/>
        <v>48</v>
      </c>
      <c r="B53" s="261"/>
      <c r="C53" s="262"/>
      <c r="D53" s="263"/>
      <c r="E53" s="267"/>
      <c r="F53" s="266"/>
    </row>
    <row r="54" spans="1:6" s="174" customFormat="1" ht="12.75" customHeight="1">
      <c r="A54" s="63">
        <f t="shared" si="3"/>
        <v>49</v>
      </c>
      <c r="B54" s="261"/>
      <c r="C54" s="262"/>
      <c r="D54" s="263"/>
      <c r="E54" s="267"/>
      <c r="F54" s="266"/>
    </row>
    <row r="55" spans="1:6" s="174" customFormat="1" ht="12.75" customHeight="1">
      <c r="A55" s="63">
        <f t="shared" si="3"/>
        <v>50</v>
      </c>
      <c r="B55" s="261"/>
      <c r="C55" s="262"/>
      <c r="D55" s="263"/>
      <c r="E55" s="267"/>
      <c r="F55" s="266"/>
    </row>
    <row r="56" spans="3:4" s="174" customFormat="1" ht="12.75">
      <c r="C56" s="37"/>
      <c r="D56" s="37"/>
    </row>
    <row r="57" spans="3:5" s="236" customFormat="1" ht="12.75" customHeight="1" hidden="1">
      <c r="C57" s="237">
        <f>50-COUNTIF(C6:C55,"")</f>
        <v>2</v>
      </c>
      <c r="D57" s="237"/>
      <c r="E57" s="238">
        <f ca="1">TODAY()</f>
        <v>42496</v>
      </c>
    </row>
    <row r="58" s="173"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heet="1" objects="1" scenarios="1"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Y309"/>
  <sheetViews>
    <sheetView showGridLines="0" showRowColHeaders="0" zoomScalePageLayoutView="0" workbookViewId="0" topLeftCell="A1">
      <pane ySplit="7" topLeftCell="A8" activePane="bottomLeft" state="frozen"/>
      <selection pane="topLeft" activeCell="C8" sqref="C8"/>
      <selection pane="bottomLeft" activeCell="B8" sqref="B8"/>
    </sheetView>
  </sheetViews>
  <sheetFormatPr defaultColWidth="9.00390625" defaultRowHeight="12.75"/>
  <cols>
    <col min="1" max="1" width="4.00390625" style="0" customWidth="1"/>
    <col min="2" max="2" width="9.375" style="0" customWidth="1"/>
    <col min="3" max="3" width="31.875" style="0" customWidth="1"/>
    <col min="4" max="4" width="6.75390625" style="0" customWidth="1"/>
    <col min="5" max="5" width="10.125" style="0" bestFit="1" customWidth="1"/>
    <col min="6" max="7" width="13.25390625" style="0" customWidth="1"/>
    <col min="8" max="8" width="10.25390625" style="0" customWidth="1"/>
    <col min="9" max="9" width="20.875" style="0" customWidth="1"/>
    <col min="10" max="10" width="10.25390625" style="0" hidden="1" customWidth="1"/>
    <col min="11" max="11" width="9.125" style="301" hidden="1" customWidth="1"/>
    <col min="12" max="12" width="5.625" style="221" hidden="1" customWidth="1"/>
    <col min="13" max="13" width="4.875" style="221" hidden="1" customWidth="1"/>
    <col min="14" max="14" width="9.125" style="301" hidden="1" customWidth="1"/>
    <col min="15" max="15" width="3.00390625" style="301" hidden="1" customWidth="1"/>
    <col min="16" max="16" width="4.25390625" style="301" hidden="1" customWidth="1"/>
    <col min="17" max="17" width="3.125" style="301" hidden="1" customWidth="1"/>
    <col min="18" max="18" width="4.125" style="301" hidden="1" customWidth="1"/>
    <col min="19" max="19" width="3.375" style="301" hidden="1" customWidth="1"/>
    <col min="20" max="20" width="16.375" style="301" hidden="1" customWidth="1"/>
    <col min="21" max="21" width="5.625" style="301" hidden="1" customWidth="1"/>
  </cols>
  <sheetData>
    <row r="1" spans="1:10" ht="12.75">
      <c r="A1" s="543" t="s">
        <v>55</v>
      </c>
      <c r="B1" s="543"/>
      <c r="C1" s="543"/>
      <c r="D1" s="543"/>
      <c r="E1" s="543"/>
      <c r="F1" s="543"/>
      <c r="G1" s="543"/>
      <c r="H1" s="543"/>
      <c r="I1" s="543"/>
      <c r="J1" s="543"/>
    </row>
    <row r="2" spans="1:10" ht="28.5" customHeight="1">
      <c r="A2" s="544" t="str">
        <f>UPPER(Установка!C3)</f>
        <v>"КУБОК ЮЖНОГО УРАЛА"</v>
      </c>
      <c r="B2" s="544"/>
      <c r="C2" s="544"/>
      <c r="D2" s="544"/>
      <c r="E2" s="544"/>
      <c r="F2" s="544"/>
      <c r="G2" s="544"/>
      <c r="H2" s="544"/>
      <c r="I2" s="544"/>
      <c r="J2" s="544"/>
    </row>
    <row r="3" spans="1:10" ht="12.75">
      <c r="A3" s="545" t="s">
        <v>3</v>
      </c>
      <c r="B3" s="545"/>
      <c r="C3" s="545"/>
      <c r="D3" s="545"/>
      <c r="E3" s="545"/>
      <c r="F3" s="545"/>
      <c r="G3" s="545"/>
      <c r="H3" s="545"/>
      <c r="I3" s="545"/>
      <c r="J3" s="545"/>
    </row>
    <row r="4" spans="3:8" ht="18.75" customHeight="1">
      <c r="C4" s="60" t="s">
        <v>1</v>
      </c>
      <c r="D4" s="542" t="str">
        <f>UPPER(Установка!C4)</f>
        <v>ДО 15 ЛЕТ</v>
      </c>
      <c r="E4" s="542"/>
      <c r="F4" s="542"/>
      <c r="G4" s="2"/>
      <c r="H4" s="46" t="str">
        <f>IF(Установка!C5="","Ю/Д/М/Ж",UPPER(Установка!C5))</f>
        <v>ЮНОШИ</v>
      </c>
    </row>
    <row r="5" spans="1:13" ht="19.5" customHeight="1">
      <c r="A5" s="212"/>
      <c r="B5" s="212"/>
      <c r="C5" s="212"/>
      <c r="D5" s="212"/>
      <c r="E5" s="212"/>
      <c r="F5" s="212"/>
      <c r="G5" s="212"/>
      <c r="K5" s="312"/>
      <c r="L5" s="301">
        <f>IF(K5=0,"",INDEX(C8:C107,K5))</f>
      </c>
      <c r="M5" s="221">
        <f>IF(K5=0,0,INDEX(B8:B107,K5))</f>
        <v>0</v>
      </c>
    </row>
    <row r="6" spans="3:13" s="221" customFormat="1" ht="12.75" hidden="1">
      <c r="C6" s="222">
        <f>70-COUNTIF(C8:C77,"")</f>
        <v>18</v>
      </c>
      <c r="I6" s="221">
        <f>COUNTIF(I8:I77,"СК")</f>
        <v>0</v>
      </c>
      <c r="J6" s="222">
        <f>100-COUNTIF(J8:J107,"")</f>
        <v>0</v>
      </c>
      <c r="K6" s="222"/>
      <c r="L6" s="222">
        <f>70-COUNTIF(L8:L77,0)</f>
        <v>0</v>
      </c>
      <c r="M6" s="222">
        <f>70-COUNTIF(M8:M77,0)</f>
        <v>0</v>
      </c>
    </row>
    <row r="7" spans="1:21" s="61" customFormat="1" ht="45">
      <c r="A7" s="214" t="s">
        <v>17</v>
      </c>
      <c r="B7" s="214" t="s">
        <v>73</v>
      </c>
      <c r="C7" s="214" t="s">
        <v>44</v>
      </c>
      <c r="D7" s="214" t="s">
        <v>36</v>
      </c>
      <c r="E7" s="214" t="s">
        <v>46</v>
      </c>
      <c r="F7" s="214" t="s">
        <v>28</v>
      </c>
      <c r="G7" s="214" t="s">
        <v>76</v>
      </c>
      <c r="H7" s="215" t="s">
        <v>56</v>
      </c>
      <c r="I7" s="215" t="s">
        <v>57</v>
      </c>
      <c r="J7" s="215" t="s">
        <v>58</v>
      </c>
      <c r="K7" s="302" t="s">
        <v>59</v>
      </c>
      <c r="L7" s="303" t="s">
        <v>60</v>
      </c>
      <c r="M7" s="303" t="s">
        <v>61</v>
      </c>
      <c r="N7" s="304"/>
      <c r="O7" s="305"/>
      <c r="P7" s="305"/>
      <c r="Q7" s="305"/>
      <c r="R7" s="305"/>
      <c r="S7" s="305"/>
      <c r="T7" s="305"/>
      <c r="U7" s="305"/>
    </row>
    <row r="8" spans="1:21" s="61" customFormat="1" ht="12.75">
      <c r="A8" s="213">
        <f aca="true" t="shared" si="0" ref="A8:A38">ROW()-7</f>
        <v>1</v>
      </c>
      <c r="B8" s="527">
        <v>201</v>
      </c>
      <c r="C8" s="537" t="s">
        <v>182</v>
      </c>
      <c r="D8" s="432">
        <v>24924</v>
      </c>
      <c r="E8" s="533">
        <v>37341</v>
      </c>
      <c r="F8" s="538" t="s">
        <v>173</v>
      </c>
      <c r="G8" s="539" t="s">
        <v>170</v>
      </c>
      <c r="H8" s="530"/>
      <c r="I8" s="531"/>
      <c r="J8" s="511"/>
      <c r="K8" s="306">
        <f aca="true" t="shared" si="1" ref="K8:K39">IF(ISBLANK(C8),2,IF(ISBLANK(H8),0,1))</f>
        <v>0</v>
      </c>
      <c r="L8" s="307">
        <f aca="true" t="shared" si="2" ref="L8:L39">IF(I8="СК",1,0)</f>
        <v>0</v>
      </c>
      <c r="M8" s="307">
        <f aca="true" t="shared" si="3" ref="M8:M39">IF(J8="СК",1,0)*(1-L8)</f>
        <v>0</v>
      </c>
      <c r="N8" s="308"/>
      <c r="O8" s="309">
        <f aca="true" t="shared" si="4" ref="O8:O39">LEN(C8)</f>
        <v>21</v>
      </c>
      <c r="P8" s="309">
        <f aca="true" t="shared" si="5" ref="P8:P39">IF((O8)=0,0,FIND(" ",C8))</f>
        <v>8</v>
      </c>
      <c r="Q8" s="309" t="str">
        <f aca="true" t="shared" si="6" ref="Q8:Q39">IF(OR(ISERR(P8),O8=0),"",CONCATENATE(MID(C8,P8+1,1),"."))</f>
        <v>И.</v>
      </c>
      <c r="R8" s="309">
        <f aca="true" t="shared" si="7" ref="R8:R39">IF(LEN(C8)=0,0,FIND(" ",C8,P8+1))</f>
        <v>13</v>
      </c>
      <c r="S8" s="309" t="str">
        <f aca="true" t="shared" si="8" ref="S8:S39">IF(OR(O8=0,ISERR(R8)),"",CONCATENATE(MID(C8,R8+1,1),"."))</f>
        <v>П.</v>
      </c>
      <c r="T8" s="309" t="str">
        <f aca="true" t="shared" si="9" ref="T8:T39">IF(C8="","",IF(ISERR(P8),UPPER(C8),UPPER(MID(C8,1,P8-1))))</f>
        <v>АНТИПОВ</v>
      </c>
      <c r="U8" s="309" t="str">
        <f aca="true" t="shared" si="10" ref="U8:U39">CONCATENATE(Q8,S8)</f>
        <v>И.П.</v>
      </c>
    </row>
    <row r="9" spans="1:21" s="61" customFormat="1" ht="12.75">
      <c r="A9" s="213">
        <f t="shared" si="0"/>
        <v>2</v>
      </c>
      <c r="B9" s="528">
        <v>47</v>
      </c>
      <c r="C9" s="540" t="s">
        <v>190</v>
      </c>
      <c r="D9" s="220">
        <v>32909</v>
      </c>
      <c r="E9" s="529">
        <v>38114</v>
      </c>
      <c r="F9" s="539" t="s">
        <v>176</v>
      </c>
      <c r="G9" s="539" t="s">
        <v>170</v>
      </c>
      <c r="H9" s="530"/>
      <c r="I9" s="531"/>
      <c r="J9" s="511"/>
      <c r="K9" s="306">
        <f t="shared" si="1"/>
        <v>0</v>
      </c>
      <c r="L9" s="307">
        <f t="shared" si="2"/>
        <v>0</v>
      </c>
      <c r="M9" s="307">
        <f t="shared" si="3"/>
        <v>0</v>
      </c>
      <c r="N9" s="308"/>
      <c r="O9" s="309">
        <f t="shared" si="4"/>
        <v>23</v>
      </c>
      <c r="P9" s="309">
        <f t="shared" si="5"/>
        <v>8</v>
      </c>
      <c r="Q9" s="309" t="str">
        <f t="shared" si="6"/>
        <v>С.</v>
      </c>
      <c r="R9" s="309">
        <f t="shared" si="7"/>
        <v>15</v>
      </c>
      <c r="S9" s="309" t="str">
        <f t="shared" si="8"/>
        <v>О.</v>
      </c>
      <c r="T9" s="309" t="str">
        <f t="shared" si="9"/>
        <v>БОРОХОВ</v>
      </c>
      <c r="U9" s="309" t="str">
        <f t="shared" si="10"/>
        <v>С.О.</v>
      </c>
    </row>
    <row r="10" spans="1:21" s="61" customFormat="1" ht="12.75">
      <c r="A10" s="213">
        <f t="shared" si="0"/>
        <v>3</v>
      </c>
      <c r="B10" s="528">
        <v>256</v>
      </c>
      <c r="C10" s="540" t="s">
        <v>175</v>
      </c>
      <c r="D10" s="220">
        <v>25635</v>
      </c>
      <c r="E10" s="529">
        <v>37264</v>
      </c>
      <c r="F10" s="539" t="s">
        <v>176</v>
      </c>
      <c r="G10" s="539" t="s">
        <v>170</v>
      </c>
      <c r="H10" s="530"/>
      <c r="I10" s="531"/>
      <c r="J10" s="511"/>
      <c r="K10" s="306">
        <f t="shared" si="1"/>
        <v>0</v>
      </c>
      <c r="L10" s="307">
        <f t="shared" si="2"/>
        <v>0</v>
      </c>
      <c r="M10" s="307">
        <f t="shared" si="3"/>
        <v>0</v>
      </c>
      <c r="N10" s="308"/>
      <c r="O10" s="309">
        <f t="shared" si="4"/>
        <v>29</v>
      </c>
      <c r="P10" s="309">
        <f t="shared" si="5"/>
        <v>10</v>
      </c>
      <c r="Q10" s="309" t="str">
        <f t="shared" si="6"/>
        <v>М.</v>
      </c>
      <c r="R10" s="309">
        <f t="shared" si="7"/>
        <v>17</v>
      </c>
      <c r="S10" s="309" t="str">
        <f t="shared" si="8"/>
        <v>В.</v>
      </c>
      <c r="T10" s="309" t="str">
        <f t="shared" si="9"/>
        <v>ГОРОДИЛОВ</v>
      </c>
      <c r="U10" s="309" t="str">
        <f t="shared" si="10"/>
        <v>М.В.</v>
      </c>
    </row>
    <row r="11" spans="1:21" s="61" customFormat="1" ht="12.75">
      <c r="A11" s="213">
        <f t="shared" si="0"/>
        <v>4</v>
      </c>
      <c r="B11" s="528">
        <v>41</v>
      </c>
      <c r="C11" s="540" t="s">
        <v>191</v>
      </c>
      <c r="D11" s="220">
        <v>34370</v>
      </c>
      <c r="E11" s="529">
        <v>37818</v>
      </c>
      <c r="F11" s="539" t="s">
        <v>176</v>
      </c>
      <c r="G11" s="539" t="s">
        <v>170</v>
      </c>
      <c r="H11" s="530"/>
      <c r="I11" s="531"/>
      <c r="J11" s="511"/>
      <c r="K11" s="306">
        <f t="shared" si="1"/>
        <v>0</v>
      </c>
      <c r="L11" s="307">
        <f t="shared" si="2"/>
        <v>0</v>
      </c>
      <c r="M11" s="307">
        <f t="shared" si="3"/>
        <v>0</v>
      </c>
      <c r="N11" s="308"/>
      <c r="O11" s="309">
        <f t="shared" si="4"/>
        <v>24</v>
      </c>
      <c r="P11" s="309">
        <f t="shared" si="5"/>
        <v>8</v>
      </c>
      <c r="Q11" s="309" t="str">
        <f t="shared" si="6"/>
        <v>А.</v>
      </c>
      <c r="R11" s="309">
        <f t="shared" si="7"/>
        <v>14</v>
      </c>
      <c r="S11" s="309" t="str">
        <f t="shared" si="8"/>
        <v>М.</v>
      </c>
      <c r="T11" s="309" t="str">
        <f t="shared" si="9"/>
        <v>ЕРМАКОВ</v>
      </c>
      <c r="U11" s="309" t="str">
        <f t="shared" si="10"/>
        <v>А.М.</v>
      </c>
    </row>
    <row r="12" spans="1:21" s="61" customFormat="1" ht="12.75">
      <c r="A12" s="213">
        <f t="shared" si="0"/>
        <v>5</v>
      </c>
      <c r="B12" s="528">
        <v>53</v>
      </c>
      <c r="C12" s="540" t="s">
        <v>188</v>
      </c>
      <c r="D12" s="220">
        <v>33411</v>
      </c>
      <c r="E12" s="529">
        <v>38659</v>
      </c>
      <c r="F12" s="539" t="s">
        <v>172</v>
      </c>
      <c r="G12" s="539" t="s">
        <v>170</v>
      </c>
      <c r="H12" s="530"/>
      <c r="I12" s="531"/>
      <c r="J12" s="511"/>
      <c r="K12" s="306">
        <f t="shared" si="1"/>
        <v>0</v>
      </c>
      <c r="L12" s="307">
        <f t="shared" si="2"/>
        <v>0</v>
      </c>
      <c r="M12" s="307">
        <f t="shared" si="3"/>
        <v>0</v>
      </c>
      <c r="N12" s="308"/>
      <c r="O12" s="309">
        <f t="shared" si="4"/>
        <v>21</v>
      </c>
      <c r="P12" s="309">
        <f t="shared" si="5"/>
        <v>7</v>
      </c>
      <c r="Q12" s="309" t="str">
        <f t="shared" si="6"/>
        <v>Н.</v>
      </c>
      <c r="R12" s="309">
        <f t="shared" si="7"/>
        <v>14</v>
      </c>
      <c r="S12" s="309" t="str">
        <f t="shared" si="8"/>
        <v>Ю.</v>
      </c>
      <c r="T12" s="309" t="str">
        <f t="shared" si="9"/>
        <v>КОЗЛОВ</v>
      </c>
      <c r="U12" s="309" t="str">
        <f t="shared" si="10"/>
        <v>Н.Ю.</v>
      </c>
    </row>
    <row r="13" spans="1:21" s="61" customFormat="1" ht="12.75">
      <c r="A13" s="213">
        <f t="shared" si="0"/>
        <v>6</v>
      </c>
      <c r="B13" s="528">
        <v>166</v>
      </c>
      <c r="C13" s="540" t="s">
        <v>184</v>
      </c>
      <c r="D13" s="220">
        <v>31352</v>
      </c>
      <c r="E13" s="529">
        <v>37735</v>
      </c>
      <c r="F13" s="539" t="s">
        <v>176</v>
      </c>
      <c r="G13" s="539" t="s">
        <v>170</v>
      </c>
      <c r="H13" s="530"/>
      <c r="I13" s="531"/>
      <c r="J13" s="511"/>
      <c r="K13" s="306">
        <f t="shared" si="1"/>
        <v>0</v>
      </c>
      <c r="L13" s="307">
        <f t="shared" si="2"/>
        <v>0</v>
      </c>
      <c r="M13" s="307">
        <f t="shared" si="3"/>
        <v>0</v>
      </c>
      <c r="N13" s="308"/>
      <c r="O13" s="309">
        <f t="shared" si="4"/>
        <v>24</v>
      </c>
      <c r="P13" s="309">
        <f t="shared" si="5"/>
        <v>8</v>
      </c>
      <c r="Q13" s="309" t="str">
        <f t="shared" si="6"/>
        <v>Н.</v>
      </c>
      <c r="R13" s="309">
        <f t="shared" si="7"/>
        <v>15</v>
      </c>
      <c r="S13" s="309" t="str">
        <f t="shared" si="8"/>
        <v>А.</v>
      </c>
      <c r="T13" s="309" t="str">
        <f t="shared" si="9"/>
        <v>НОВИКОВ</v>
      </c>
      <c r="U13" s="309" t="str">
        <f t="shared" si="10"/>
        <v>Н.А.</v>
      </c>
    </row>
    <row r="14" spans="1:21" s="61" customFormat="1" ht="12.75">
      <c r="A14" s="213">
        <f t="shared" si="0"/>
        <v>7</v>
      </c>
      <c r="B14" s="528">
        <v>253</v>
      </c>
      <c r="C14" s="540" t="s">
        <v>177</v>
      </c>
      <c r="D14" s="220">
        <v>28022</v>
      </c>
      <c r="E14" s="529">
        <v>37703</v>
      </c>
      <c r="F14" s="539" t="s">
        <v>178</v>
      </c>
      <c r="G14" s="539" t="s">
        <v>170</v>
      </c>
      <c r="H14" s="530"/>
      <c r="I14" s="531"/>
      <c r="J14" s="511"/>
      <c r="K14" s="306">
        <f t="shared" si="1"/>
        <v>0</v>
      </c>
      <c r="L14" s="307">
        <f t="shared" si="2"/>
        <v>0</v>
      </c>
      <c r="M14" s="307">
        <f t="shared" si="3"/>
        <v>0</v>
      </c>
      <c r="N14" s="308"/>
      <c r="O14" s="309">
        <f t="shared" si="4"/>
        <v>25</v>
      </c>
      <c r="P14" s="309">
        <f t="shared" si="5"/>
        <v>8</v>
      </c>
      <c r="Q14" s="309" t="str">
        <f t="shared" si="6"/>
        <v>Н.</v>
      </c>
      <c r="R14" s="309">
        <f t="shared" si="7"/>
        <v>15</v>
      </c>
      <c r="S14" s="309" t="str">
        <f t="shared" si="8"/>
        <v>Е.</v>
      </c>
      <c r="T14" s="309" t="str">
        <f t="shared" si="9"/>
        <v>ПАДЕРИН</v>
      </c>
      <c r="U14" s="309" t="str">
        <f t="shared" si="10"/>
        <v>Н.Е.</v>
      </c>
    </row>
    <row r="15" spans="1:25" s="61" customFormat="1" ht="12.75">
      <c r="A15" s="213">
        <f t="shared" si="0"/>
        <v>8</v>
      </c>
      <c r="B15" s="528">
        <v>12</v>
      </c>
      <c r="C15" s="540" t="s">
        <v>192</v>
      </c>
      <c r="D15" s="220">
        <v>34911</v>
      </c>
      <c r="E15" s="529">
        <v>38614</v>
      </c>
      <c r="F15" s="539" t="s">
        <v>176</v>
      </c>
      <c r="G15" s="539" t="s">
        <v>170</v>
      </c>
      <c r="H15" s="530"/>
      <c r="I15" s="531"/>
      <c r="J15" s="511"/>
      <c r="K15" s="306">
        <f t="shared" si="1"/>
        <v>0</v>
      </c>
      <c r="L15" s="307">
        <f t="shared" si="2"/>
        <v>0</v>
      </c>
      <c r="M15" s="307">
        <f t="shared" si="3"/>
        <v>0</v>
      </c>
      <c r="N15" s="308"/>
      <c r="O15" s="309">
        <f t="shared" si="4"/>
        <v>23</v>
      </c>
      <c r="P15" s="309">
        <f t="shared" si="5"/>
        <v>8</v>
      </c>
      <c r="Q15" s="309" t="str">
        <f t="shared" si="6"/>
        <v>Н.</v>
      </c>
      <c r="R15" s="309">
        <f t="shared" si="7"/>
        <v>15</v>
      </c>
      <c r="S15" s="309" t="str">
        <f t="shared" si="8"/>
        <v>О.</v>
      </c>
      <c r="T15" s="309" t="str">
        <f t="shared" si="9"/>
        <v>ПОТАПОВ</v>
      </c>
      <c r="U15" s="309" t="str">
        <f t="shared" si="10"/>
        <v>Н.О.</v>
      </c>
      <c r="Y15" s="333"/>
    </row>
    <row r="16" spans="1:21" s="61" customFormat="1" ht="12.75">
      <c r="A16" s="213">
        <f t="shared" si="0"/>
        <v>9</v>
      </c>
      <c r="B16" s="528">
        <v>217</v>
      </c>
      <c r="C16" s="540" t="s">
        <v>181</v>
      </c>
      <c r="D16" s="220">
        <v>30971</v>
      </c>
      <c r="E16" s="529">
        <v>37624</v>
      </c>
      <c r="F16" s="539" t="s">
        <v>180</v>
      </c>
      <c r="G16" s="539" t="s">
        <v>170</v>
      </c>
      <c r="H16" s="530"/>
      <c r="I16" s="531"/>
      <c r="J16" s="511"/>
      <c r="K16" s="306">
        <f t="shared" si="1"/>
        <v>0</v>
      </c>
      <c r="L16" s="307">
        <f t="shared" si="2"/>
        <v>0</v>
      </c>
      <c r="M16" s="307">
        <f t="shared" si="3"/>
        <v>0</v>
      </c>
      <c r="N16" s="308"/>
      <c r="O16" s="309">
        <f t="shared" si="4"/>
        <v>23</v>
      </c>
      <c r="P16" s="309">
        <f t="shared" si="5"/>
        <v>16</v>
      </c>
      <c r="Q16" s="309" t="str">
        <f t="shared" si="6"/>
        <v>А.</v>
      </c>
      <c r="R16" s="309" t="e">
        <f t="shared" si="7"/>
        <v>#VALUE!</v>
      </c>
      <c r="S16" s="309">
        <f t="shared" si="8"/>
      </c>
      <c r="T16" s="309" t="str">
        <f t="shared" si="9"/>
        <v>СЕГУРА-ОНИЩЕНКО</v>
      </c>
      <c r="U16" s="309" t="str">
        <f t="shared" si="10"/>
        <v>А.</v>
      </c>
    </row>
    <row r="17" spans="1:21" s="61" customFormat="1" ht="12.75">
      <c r="A17" s="213">
        <f t="shared" si="0"/>
        <v>10</v>
      </c>
      <c r="B17" s="528">
        <v>65</v>
      </c>
      <c r="C17" s="540" t="s">
        <v>186</v>
      </c>
      <c r="D17" s="220">
        <v>34003</v>
      </c>
      <c r="E17" s="529">
        <v>38516</v>
      </c>
      <c r="F17" s="539" t="s">
        <v>187</v>
      </c>
      <c r="G17" s="539" t="s">
        <v>170</v>
      </c>
      <c r="H17" s="530"/>
      <c r="I17" s="531"/>
      <c r="J17" s="511"/>
      <c r="K17" s="306">
        <f t="shared" si="1"/>
        <v>0</v>
      </c>
      <c r="L17" s="307">
        <f t="shared" si="2"/>
        <v>0</v>
      </c>
      <c r="M17" s="307">
        <f t="shared" si="3"/>
        <v>0</v>
      </c>
      <c r="N17" s="308"/>
      <c r="O17" s="309">
        <f t="shared" si="4"/>
        <v>26</v>
      </c>
      <c r="P17" s="309">
        <f t="shared" si="5"/>
        <v>8</v>
      </c>
      <c r="Q17" s="309" t="str">
        <f t="shared" si="6"/>
        <v>Д.</v>
      </c>
      <c r="R17" s="309">
        <f t="shared" si="7"/>
        <v>14</v>
      </c>
      <c r="S17" s="309" t="str">
        <f t="shared" si="8"/>
        <v>В.</v>
      </c>
      <c r="T17" s="309" t="str">
        <f t="shared" si="9"/>
        <v>СМИРНОВ</v>
      </c>
      <c r="U17" s="309" t="str">
        <f t="shared" si="10"/>
        <v>Д.В.</v>
      </c>
    </row>
    <row r="18" spans="1:21" s="61" customFormat="1" ht="12.75">
      <c r="A18" s="213">
        <f t="shared" si="0"/>
        <v>11</v>
      </c>
      <c r="B18" s="528">
        <v>483</v>
      </c>
      <c r="C18" s="540" t="s">
        <v>168</v>
      </c>
      <c r="D18" s="220">
        <v>27757</v>
      </c>
      <c r="E18" s="529">
        <v>37618</v>
      </c>
      <c r="F18" s="539" t="s">
        <v>169</v>
      </c>
      <c r="G18" s="539" t="s">
        <v>170</v>
      </c>
      <c r="H18" s="530"/>
      <c r="I18" s="531"/>
      <c r="J18" s="511"/>
      <c r="K18" s="306">
        <f t="shared" si="1"/>
        <v>0</v>
      </c>
      <c r="L18" s="307">
        <f t="shared" si="2"/>
        <v>0</v>
      </c>
      <c r="M18" s="307">
        <f t="shared" si="3"/>
        <v>0</v>
      </c>
      <c r="N18" s="308"/>
      <c r="O18" s="309">
        <f t="shared" si="4"/>
        <v>23</v>
      </c>
      <c r="P18" s="309">
        <f t="shared" si="5"/>
        <v>8</v>
      </c>
      <c r="Q18" s="309" t="str">
        <f t="shared" si="6"/>
        <v>И.</v>
      </c>
      <c r="R18" s="309">
        <f t="shared" si="7"/>
        <v>14</v>
      </c>
      <c r="S18" s="309" t="str">
        <f t="shared" si="8"/>
        <v>А.</v>
      </c>
      <c r="T18" s="309" t="str">
        <f t="shared" si="9"/>
        <v>ТИХОНОВ</v>
      </c>
      <c r="U18" s="309" t="str">
        <f t="shared" si="10"/>
        <v>И.А.</v>
      </c>
    </row>
    <row r="19" spans="1:21" s="61" customFormat="1" ht="12.75">
      <c r="A19" s="213">
        <f t="shared" si="0"/>
        <v>12</v>
      </c>
      <c r="B19" s="528">
        <v>249</v>
      </c>
      <c r="C19" s="540" t="s">
        <v>179</v>
      </c>
      <c r="D19" s="220">
        <v>27279</v>
      </c>
      <c r="E19" s="529">
        <v>37893</v>
      </c>
      <c r="F19" s="539" t="s">
        <v>180</v>
      </c>
      <c r="G19" s="220"/>
      <c r="H19" s="530"/>
      <c r="I19" s="531"/>
      <c r="J19" s="511"/>
      <c r="K19" s="306">
        <f t="shared" si="1"/>
        <v>0</v>
      </c>
      <c r="L19" s="307">
        <f t="shared" si="2"/>
        <v>0</v>
      </c>
      <c r="M19" s="307">
        <f t="shared" si="3"/>
        <v>0</v>
      </c>
      <c r="N19" s="308"/>
      <c r="O19" s="309">
        <f t="shared" si="4"/>
        <v>22</v>
      </c>
      <c r="P19" s="309">
        <f t="shared" si="5"/>
        <v>7</v>
      </c>
      <c r="Q19" s="309" t="str">
        <f t="shared" si="6"/>
        <v>П.</v>
      </c>
      <c r="R19" s="309">
        <f t="shared" si="7"/>
        <v>12</v>
      </c>
      <c r="S19" s="309" t="str">
        <f t="shared" si="8"/>
        <v>Е.</v>
      </c>
      <c r="T19" s="309" t="str">
        <f t="shared" si="9"/>
        <v>ФАДЕЕВ</v>
      </c>
      <c r="U19" s="309" t="str">
        <f t="shared" si="10"/>
        <v>П.Е.</v>
      </c>
    </row>
    <row r="20" spans="1:21" s="61" customFormat="1" ht="12.75">
      <c r="A20" s="213">
        <f t="shared" si="0"/>
        <v>13</v>
      </c>
      <c r="B20" s="528">
        <v>48</v>
      </c>
      <c r="C20" s="540" t="s">
        <v>189</v>
      </c>
      <c r="D20" s="220">
        <v>31320</v>
      </c>
      <c r="E20" s="529">
        <v>37643</v>
      </c>
      <c r="F20" s="539" t="s">
        <v>176</v>
      </c>
      <c r="G20" s="539" t="s">
        <v>170</v>
      </c>
      <c r="H20" s="530"/>
      <c r="I20" s="531"/>
      <c r="J20" s="511"/>
      <c r="K20" s="306">
        <f t="shared" si="1"/>
        <v>0</v>
      </c>
      <c r="L20" s="307">
        <f t="shared" si="2"/>
        <v>0</v>
      </c>
      <c r="M20" s="307">
        <f t="shared" si="3"/>
        <v>0</v>
      </c>
      <c r="N20" s="308"/>
      <c r="O20" s="309">
        <f t="shared" si="4"/>
        <v>26</v>
      </c>
      <c r="P20" s="309">
        <f t="shared" si="5"/>
        <v>9</v>
      </c>
      <c r="Q20" s="309" t="str">
        <f t="shared" si="6"/>
        <v>В.</v>
      </c>
      <c r="R20" s="309">
        <f t="shared" si="7"/>
        <v>17</v>
      </c>
      <c r="S20" s="309" t="str">
        <f t="shared" si="8"/>
        <v>А.</v>
      </c>
      <c r="T20" s="309" t="str">
        <f t="shared" si="9"/>
        <v>ХЛОПУНОВ</v>
      </c>
      <c r="U20" s="309" t="str">
        <f t="shared" si="10"/>
        <v>В.А.</v>
      </c>
    </row>
    <row r="21" spans="1:21" s="61" customFormat="1" ht="12.75">
      <c r="A21" s="213">
        <f t="shared" si="0"/>
        <v>14</v>
      </c>
      <c r="B21" s="528">
        <v>262</v>
      </c>
      <c r="C21" s="540" t="s">
        <v>174</v>
      </c>
      <c r="D21" s="220">
        <v>24902</v>
      </c>
      <c r="E21" s="529">
        <v>37377</v>
      </c>
      <c r="F21" s="539" t="s">
        <v>172</v>
      </c>
      <c r="G21" s="539" t="s">
        <v>170</v>
      </c>
      <c r="H21" s="530"/>
      <c r="I21" s="531"/>
      <c r="J21" s="511"/>
      <c r="K21" s="306">
        <f t="shared" si="1"/>
        <v>0</v>
      </c>
      <c r="L21" s="307">
        <f t="shared" si="2"/>
        <v>0</v>
      </c>
      <c r="M21" s="307">
        <f t="shared" si="3"/>
        <v>0</v>
      </c>
      <c r="N21" s="308"/>
      <c r="O21" s="309">
        <f t="shared" si="4"/>
        <v>22</v>
      </c>
      <c r="P21" s="309">
        <f t="shared" si="5"/>
        <v>8</v>
      </c>
      <c r="Q21" s="309" t="str">
        <f t="shared" si="6"/>
        <v>Э.</v>
      </c>
      <c r="R21" s="309">
        <f t="shared" si="7"/>
        <v>13</v>
      </c>
      <c r="S21" s="309" t="str">
        <f t="shared" si="8"/>
        <v>Т.</v>
      </c>
      <c r="T21" s="309" t="str">
        <f t="shared" si="9"/>
        <v>ЦВИКЛИЧ</v>
      </c>
      <c r="U21" s="309" t="str">
        <f t="shared" si="10"/>
        <v>Э.Т.</v>
      </c>
    </row>
    <row r="22" spans="1:21" s="61" customFormat="1" ht="12.75">
      <c r="A22" s="213">
        <f t="shared" si="0"/>
        <v>15</v>
      </c>
      <c r="B22" s="528">
        <v>169</v>
      </c>
      <c r="C22" s="540" t="s">
        <v>183</v>
      </c>
      <c r="D22" s="220">
        <v>29771</v>
      </c>
      <c r="E22" s="529">
        <v>38077</v>
      </c>
      <c r="F22" s="539" t="s">
        <v>172</v>
      </c>
      <c r="G22" s="539" t="s">
        <v>170</v>
      </c>
      <c r="H22" s="530"/>
      <c r="I22" s="531"/>
      <c r="J22" s="511"/>
      <c r="K22" s="306">
        <f t="shared" si="1"/>
        <v>0</v>
      </c>
      <c r="L22" s="307">
        <f t="shared" si="2"/>
        <v>0</v>
      </c>
      <c r="M22" s="307">
        <f t="shared" si="3"/>
        <v>0</v>
      </c>
      <c r="N22" s="308"/>
      <c r="O22" s="309">
        <f t="shared" si="4"/>
        <v>33</v>
      </c>
      <c r="P22" s="309">
        <f t="shared" si="5"/>
        <v>12</v>
      </c>
      <c r="Q22" s="309" t="str">
        <f t="shared" si="6"/>
        <v>В.</v>
      </c>
      <c r="R22" s="309">
        <f t="shared" si="7"/>
        <v>22</v>
      </c>
      <c r="S22" s="309" t="str">
        <f t="shared" si="8"/>
        <v>А.</v>
      </c>
      <c r="T22" s="309" t="str">
        <f t="shared" si="9"/>
        <v>ШАЙХУТДИНОВ</v>
      </c>
      <c r="U22" s="309" t="str">
        <f t="shared" si="10"/>
        <v>В.А.</v>
      </c>
    </row>
    <row r="23" spans="1:21" s="61" customFormat="1" ht="12.75">
      <c r="A23" s="213">
        <f t="shared" si="0"/>
        <v>16</v>
      </c>
      <c r="B23" s="528">
        <v>379</v>
      </c>
      <c r="C23" s="540" t="s">
        <v>171</v>
      </c>
      <c r="D23" s="220">
        <v>27355</v>
      </c>
      <c r="E23" s="529">
        <v>37339</v>
      </c>
      <c r="F23" s="539" t="s">
        <v>172</v>
      </c>
      <c r="G23" s="539" t="s">
        <v>170</v>
      </c>
      <c r="H23" s="530"/>
      <c r="I23" s="531"/>
      <c r="J23" s="511"/>
      <c r="K23" s="306">
        <f t="shared" si="1"/>
        <v>0</v>
      </c>
      <c r="L23" s="307">
        <f t="shared" si="2"/>
        <v>0</v>
      </c>
      <c r="M23" s="307">
        <f t="shared" si="3"/>
        <v>0</v>
      </c>
      <c r="N23" s="308"/>
      <c r="O23" s="309">
        <f t="shared" si="4"/>
        <v>27</v>
      </c>
      <c r="P23" s="309">
        <f t="shared" si="5"/>
        <v>8</v>
      </c>
      <c r="Q23" s="309" t="str">
        <f t="shared" si="6"/>
        <v>Д.</v>
      </c>
      <c r="R23" s="309">
        <f t="shared" si="7"/>
        <v>14</v>
      </c>
      <c r="S23" s="309" t="str">
        <f t="shared" si="8"/>
        <v>А.</v>
      </c>
      <c r="T23" s="309" t="str">
        <f t="shared" si="9"/>
        <v>ШВАЙЦЕР</v>
      </c>
      <c r="U23" s="309" t="str">
        <f t="shared" si="10"/>
        <v>Д.А.</v>
      </c>
    </row>
    <row r="24" spans="1:21" s="61" customFormat="1" ht="12.75">
      <c r="A24" s="213">
        <f t="shared" si="0"/>
        <v>17</v>
      </c>
      <c r="B24" s="528">
        <v>122</v>
      </c>
      <c r="C24" s="540" t="s">
        <v>185</v>
      </c>
      <c r="D24" s="220">
        <v>29018</v>
      </c>
      <c r="E24" s="529">
        <v>38127</v>
      </c>
      <c r="F24" s="539" t="s">
        <v>176</v>
      </c>
      <c r="G24" s="539" t="s">
        <v>170</v>
      </c>
      <c r="H24" s="530"/>
      <c r="I24" s="531"/>
      <c r="J24" s="511"/>
      <c r="K24" s="306">
        <f t="shared" si="1"/>
        <v>0</v>
      </c>
      <c r="L24" s="307">
        <f t="shared" si="2"/>
        <v>0</v>
      </c>
      <c r="M24" s="307">
        <f t="shared" si="3"/>
        <v>0</v>
      </c>
      <c r="N24" s="308"/>
      <c r="O24" s="309">
        <f t="shared" si="4"/>
        <v>24</v>
      </c>
      <c r="P24" s="309">
        <f t="shared" si="5"/>
        <v>5</v>
      </c>
      <c r="Q24" s="309" t="str">
        <f t="shared" si="6"/>
        <v>В.</v>
      </c>
      <c r="R24" s="309">
        <f t="shared" si="7"/>
        <v>14</v>
      </c>
      <c r="S24" s="309" t="str">
        <f t="shared" si="8"/>
        <v>М.</v>
      </c>
      <c r="T24" s="309" t="str">
        <f t="shared" si="9"/>
        <v>ЮЛИК</v>
      </c>
      <c r="U24" s="309" t="str">
        <f t="shared" si="10"/>
        <v>В.М.</v>
      </c>
    </row>
    <row r="25" spans="1:21" s="61" customFormat="1" ht="12.75">
      <c r="A25" s="213">
        <f t="shared" si="0"/>
        <v>18</v>
      </c>
      <c r="B25" s="528">
        <v>6</v>
      </c>
      <c r="C25" s="540" t="s">
        <v>193</v>
      </c>
      <c r="D25" s="220">
        <v>35241</v>
      </c>
      <c r="E25" s="529">
        <v>38263</v>
      </c>
      <c r="F25" s="539" t="s">
        <v>176</v>
      </c>
      <c r="G25" s="220"/>
      <c r="H25" s="530"/>
      <c r="I25" s="531"/>
      <c r="J25" s="511"/>
      <c r="K25" s="306">
        <f t="shared" si="1"/>
        <v>0</v>
      </c>
      <c r="L25" s="307">
        <f t="shared" si="2"/>
        <v>0</v>
      </c>
      <c r="M25" s="307">
        <f t="shared" si="3"/>
        <v>0</v>
      </c>
      <c r="N25" s="308"/>
      <c r="O25" s="309">
        <f t="shared" si="4"/>
        <v>21</v>
      </c>
      <c r="P25" s="309">
        <f t="shared" si="5"/>
        <v>6</v>
      </c>
      <c r="Q25" s="309" t="str">
        <f t="shared" si="6"/>
        <v>Д.</v>
      </c>
      <c r="R25" s="309">
        <f t="shared" si="7"/>
        <v>13</v>
      </c>
      <c r="S25" s="309" t="str">
        <f t="shared" si="8"/>
        <v>И.</v>
      </c>
      <c r="T25" s="309" t="str">
        <f t="shared" si="9"/>
        <v>ЮРКОВ</v>
      </c>
      <c r="U25" s="309" t="str">
        <f t="shared" si="10"/>
        <v>Д.И.</v>
      </c>
    </row>
    <row r="26" spans="1:21" s="61" customFormat="1" ht="12.75">
      <c r="A26" s="213">
        <f t="shared" si="0"/>
        <v>19</v>
      </c>
      <c r="B26" s="528"/>
      <c r="C26" s="540"/>
      <c r="D26" s="220"/>
      <c r="E26" s="529"/>
      <c r="F26" s="539"/>
      <c r="G26" s="539"/>
      <c r="H26" s="530"/>
      <c r="I26" s="531"/>
      <c r="J26" s="511"/>
      <c r="K26" s="306">
        <f t="shared" si="1"/>
        <v>2</v>
      </c>
      <c r="L26" s="307">
        <f t="shared" si="2"/>
        <v>0</v>
      </c>
      <c r="M26" s="307">
        <f t="shared" si="3"/>
        <v>0</v>
      </c>
      <c r="N26" s="308"/>
      <c r="O26" s="309">
        <f t="shared" si="4"/>
        <v>0</v>
      </c>
      <c r="P26" s="309">
        <f t="shared" si="5"/>
        <v>0</v>
      </c>
      <c r="Q26" s="309">
        <f t="shared" si="6"/>
      </c>
      <c r="R26" s="309">
        <f t="shared" si="7"/>
        <v>0</v>
      </c>
      <c r="S26" s="309">
        <f t="shared" si="8"/>
      </c>
      <c r="T26" s="309">
        <f t="shared" si="9"/>
      </c>
      <c r="U26" s="309">
        <f t="shared" si="10"/>
      </c>
    </row>
    <row r="27" spans="1:21" s="61" customFormat="1" ht="12.75">
      <c r="A27" s="213">
        <f t="shared" si="0"/>
        <v>20</v>
      </c>
      <c r="B27" s="528"/>
      <c r="C27" s="540"/>
      <c r="D27" s="220"/>
      <c r="E27" s="529"/>
      <c r="F27" s="539"/>
      <c r="G27" s="539"/>
      <c r="H27" s="530"/>
      <c r="I27" s="531"/>
      <c r="J27" s="511"/>
      <c r="K27" s="306">
        <f t="shared" si="1"/>
        <v>2</v>
      </c>
      <c r="L27" s="307">
        <f t="shared" si="2"/>
        <v>0</v>
      </c>
      <c r="M27" s="307">
        <f t="shared" si="3"/>
        <v>0</v>
      </c>
      <c r="N27" s="308"/>
      <c r="O27" s="309">
        <f t="shared" si="4"/>
        <v>0</v>
      </c>
      <c r="P27" s="309">
        <f t="shared" si="5"/>
        <v>0</v>
      </c>
      <c r="Q27" s="309">
        <f t="shared" si="6"/>
      </c>
      <c r="R27" s="309">
        <f t="shared" si="7"/>
        <v>0</v>
      </c>
      <c r="S27" s="309">
        <f t="shared" si="8"/>
      </c>
      <c r="T27" s="309">
        <f t="shared" si="9"/>
      </c>
      <c r="U27" s="309">
        <f t="shared" si="10"/>
      </c>
    </row>
    <row r="28" spans="1:21" s="61" customFormat="1" ht="12.75">
      <c r="A28" s="213">
        <f t="shared" si="0"/>
        <v>21</v>
      </c>
      <c r="B28" s="528"/>
      <c r="C28" s="540"/>
      <c r="D28" s="220"/>
      <c r="E28" s="529"/>
      <c r="F28" s="539"/>
      <c r="G28" s="539"/>
      <c r="H28" s="530"/>
      <c r="I28" s="531"/>
      <c r="J28" s="511"/>
      <c r="K28" s="306">
        <f t="shared" si="1"/>
        <v>2</v>
      </c>
      <c r="L28" s="307">
        <f t="shared" si="2"/>
        <v>0</v>
      </c>
      <c r="M28" s="307">
        <f t="shared" si="3"/>
        <v>0</v>
      </c>
      <c r="N28" s="308"/>
      <c r="O28" s="309">
        <f t="shared" si="4"/>
        <v>0</v>
      </c>
      <c r="P28" s="309">
        <f t="shared" si="5"/>
        <v>0</v>
      </c>
      <c r="Q28" s="309">
        <f t="shared" si="6"/>
      </c>
      <c r="R28" s="309">
        <f t="shared" si="7"/>
        <v>0</v>
      </c>
      <c r="S28" s="309">
        <f t="shared" si="8"/>
      </c>
      <c r="T28" s="309">
        <f t="shared" si="9"/>
      </c>
      <c r="U28" s="309">
        <f t="shared" si="10"/>
      </c>
    </row>
    <row r="29" spans="1:21" s="61" customFormat="1" ht="12.75">
      <c r="A29" s="213">
        <f t="shared" si="0"/>
        <v>22</v>
      </c>
      <c r="B29" s="528"/>
      <c r="C29" s="540"/>
      <c r="D29" s="220"/>
      <c r="E29" s="529"/>
      <c r="F29" s="539"/>
      <c r="G29" s="539"/>
      <c r="H29" s="530"/>
      <c r="I29" s="531"/>
      <c r="J29" s="511"/>
      <c r="K29" s="306">
        <f t="shared" si="1"/>
        <v>2</v>
      </c>
      <c r="L29" s="307">
        <f t="shared" si="2"/>
        <v>0</v>
      </c>
      <c r="M29" s="307">
        <f t="shared" si="3"/>
        <v>0</v>
      </c>
      <c r="N29" s="308"/>
      <c r="O29" s="309">
        <f t="shared" si="4"/>
        <v>0</v>
      </c>
      <c r="P29" s="309">
        <f t="shared" si="5"/>
        <v>0</v>
      </c>
      <c r="Q29" s="309">
        <f t="shared" si="6"/>
      </c>
      <c r="R29" s="309">
        <f t="shared" si="7"/>
        <v>0</v>
      </c>
      <c r="S29" s="309">
        <f t="shared" si="8"/>
      </c>
      <c r="T29" s="309">
        <f t="shared" si="9"/>
      </c>
      <c r="U29" s="309">
        <f t="shared" si="10"/>
      </c>
    </row>
    <row r="30" spans="1:21" s="61" customFormat="1" ht="12.75">
      <c r="A30" s="213">
        <f t="shared" si="0"/>
        <v>23</v>
      </c>
      <c r="B30" s="528"/>
      <c r="C30" s="540"/>
      <c r="D30" s="220"/>
      <c r="E30" s="529"/>
      <c r="F30" s="539"/>
      <c r="G30" s="539"/>
      <c r="H30" s="530"/>
      <c r="I30" s="531"/>
      <c r="J30" s="511"/>
      <c r="K30" s="306">
        <f t="shared" si="1"/>
        <v>2</v>
      </c>
      <c r="L30" s="307">
        <f t="shared" si="2"/>
        <v>0</v>
      </c>
      <c r="M30" s="307">
        <f t="shared" si="3"/>
        <v>0</v>
      </c>
      <c r="N30" s="308"/>
      <c r="O30" s="309">
        <f t="shared" si="4"/>
        <v>0</v>
      </c>
      <c r="P30" s="309">
        <f t="shared" si="5"/>
        <v>0</v>
      </c>
      <c r="Q30" s="309">
        <f t="shared" si="6"/>
      </c>
      <c r="R30" s="309">
        <f t="shared" si="7"/>
        <v>0</v>
      </c>
      <c r="S30" s="309">
        <f t="shared" si="8"/>
      </c>
      <c r="T30" s="309">
        <f t="shared" si="9"/>
      </c>
      <c r="U30" s="309">
        <f t="shared" si="10"/>
      </c>
    </row>
    <row r="31" spans="1:21" s="61" customFormat="1" ht="12.75">
      <c r="A31" s="213">
        <f t="shared" si="0"/>
        <v>24</v>
      </c>
      <c r="B31" s="528"/>
      <c r="C31" s="532"/>
      <c r="D31" s="220"/>
      <c r="E31" s="529"/>
      <c r="F31" s="220"/>
      <c r="G31" s="220"/>
      <c r="H31" s="530"/>
      <c r="I31" s="531"/>
      <c r="J31" s="511"/>
      <c r="K31" s="306">
        <f t="shared" si="1"/>
        <v>2</v>
      </c>
      <c r="L31" s="307">
        <f t="shared" si="2"/>
        <v>0</v>
      </c>
      <c r="M31" s="307">
        <f t="shared" si="3"/>
        <v>0</v>
      </c>
      <c r="N31" s="308"/>
      <c r="O31" s="309">
        <f t="shared" si="4"/>
        <v>0</v>
      </c>
      <c r="P31" s="309">
        <f t="shared" si="5"/>
        <v>0</v>
      </c>
      <c r="Q31" s="309">
        <f t="shared" si="6"/>
      </c>
      <c r="R31" s="309">
        <f t="shared" si="7"/>
        <v>0</v>
      </c>
      <c r="S31" s="309">
        <f t="shared" si="8"/>
      </c>
      <c r="T31" s="309">
        <f t="shared" si="9"/>
      </c>
      <c r="U31" s="309">
        <f t="shared" si="10"/>
      </c>
    </row>
    <row r="32" spans="1:21" s="61" customFormat="1" ht="12.75">
      <c r="A32" s="213">
        <f t="shared" si="0"/>
        <v>25</v>
      </c>
      <c r="B32" s="528"/>
      <c r="C32" s="532"/>
      <c r="D32" s="220"/>
      <c r="E32" s="529"/>
      <c r="F32" s="220"/>
      <c r="G32" s="220"/>
      <c r="H32" s="530"/>
      <c r="I32" s="531"/>
      <c r="J32" s="511"/>
      <c r="K32" s="306">
        <f t="shared" si="1"/>
        <v>2</v>
      </c>
      <c r="L32" s="307">
        <f t="shared" si="2"/>
        <v>0</v>
      </c>
      <c r="M32" s="307">
        <f t="shared" si="3"/>
        <v>0</v>
      </c>
      <c r="N32" s="308"/>
      <c r="O32" s="309">
        <f t="shared" si="4"/>
        <v>0</v>
      </c>
      <c r="P32" s="309">
        <f t="shared" si="5"/>
        <v>0</v>
      </c>
      <c r="Q32" s="309">
        <f t="shared" si="6"/>
      </c>
      <c r="R32" s="309">
        <f t="shared" si="7"/>
        <v>0</v>
      </c>
      <c r="S32" s="309">
        <f t="shared" si="8"/>
      </c>
      <c r="T32" s="309">
        <f t="shared" si="9"/>
      </c>
      <c r="U32" s="309">
        <f t="shared" si="10"/>
      </c>
    </row>
    <row r="33" spans="1:21" s="61" customFormat="1" ht="12.75">
      <c r="A33" s="213">
        <f t="shared" si="0"/>
        <v>26</v>
      </c>
      <c r="B33" s="528"/>
      <c r="C33" s="532"/>
      <c r="D33" s="220"/>
      <c r="E33" s="529"/>
      <c r="F33" s="220"/>
      <c r="G33" s="220"/>
      <c r="H33" s="530"/>
      <c r="I33" s="531"/>
      <c r="J33" s="511"/>
      <c r="K33" s="306">
        <f t="shared" si="1"/>
        <v>2</v>
      </c>
      <c r="L33" s="307">
        <f t="shared" si="2"/>
        <v>0</v>
      </c>
      <c r="M33" s="307">
        <f t="shared" si="3"/>
        <v>0</v>
      </c>
      <c r="N33" s="308"/>
      <c r="O33" s="309">
        <f t="shared" si="4"/>
        <v>0</v>
      </c>
      <c r="P33" s="309">
        <f t="shared" si="5"/>
        <v>0</v>
      </c>
      <c r="Q33" s="309">
        <f t="shared" si="6"/>
      </c>
      <c r="R33" s="309">
        <f t="shared" si="7"/>
        <v>0</v>
      </c>
      <c r="S33" s="309">
        <f t="shared" si="8"/>
      </c>
      <c r="T33" s="309">
        <f t="shared" si="9"/>
      </c>
      <c r="U33" s="309">
        <f t="shared" si="10"/>
      </c>
    </row>
    <row r="34" spans="1:21" s="61" customFormat="1" ht="12.75">
      <c r="A34" s="213">
        <f t="shared" si="0"/>
        <v>27</v>
      </c>
      <c r="B34" s="528"/>
      <c r="C34" s="532"/>
      <c r="D34" s="220"/>
      <c r="E34" s="529"/>
      <c r="F34" s="220"/>
      <c r="G34" s="220"/>
      <c r="H34" s="530"/>
      <c r="I34" s="531"/>
      <c r="J34" s="511"/>
      <c r="K34" s="306">
        <f t="shared" si="1"/>
        <v>2</v>
      </c>
      <c r="L34" s="307">
        <f t="shared" si="2"/>
        <v>0</v>
      </c>
      <c r="M34" s="307">
        <f t="shared" si="3"/>
        <v>0</v>
      </c>
      <c r="N34" s="308"/>
      <c r="O34" s="309">
        <f t="shared" si="4"/>
        <v>0</v>
      </c>
      <c r="P34" s="309">
        <f t="shared" si="5"/>
        <v>0</v>
      </c>
      <c r="Q34" s="309">
        <f t="shared" si="6"/>
      </c>
      <c r="R34" s="309">
        <f t="shared" si="7"/>
        <v>0</v>
      </c>
      <c r="S34" s="309">
        <f t="shared" si="8"/>
      </c>
      <c r="T34" s="309">
        <f t="shared" si="9"/>
      </c>
      <c r="U34" s="309">
        <f t="shared" si="10"/>
      </c>
    </row>
    <row r="35" spans="1:21" s="61" customFormat="1" ht="12.75">
      <c r="A35" s="213">
        <f t="shared" si="0"/>
        <v>28</v>
      </c>
      <c r="B35" s="528"/>
      <c r="C35" s="532"/>
      <c r="D35" s="220"/>
      <c r="E35" s="529"/>
      <c r="F35" s="220"/>
      <c r="G35" s="220"/>
      <c r="H35" s="530"/>
      <c r="I35" s="531"/>
      <c r="J35" s="511"/>
      <c r="K35" s="306">
        <f t="shared" si="1"/>
        <v>2</v>
      </c>
      <c r="L35" s="307">
        <f t="shared" si="2"/>
        <v>0</v>
      </c>
      <c r="M35" s="307">
        <f t="shared" si="3"/>
        <v>0</v>
      </c>
      <c r="N35" s="308"/>
      <c r="O35" s="309">
        <f t="shared" si="4"/>
        <v>0</v>
      </c>
      <c r="P35" s="309">
        <f t="shared" si="5"/>
        <v>0</v>
      </c>
      <c r="Q35" s="309">
        <f t="shared" si="6"/>
      </c>
      <c r="R35" s="309">
        <f t="shared" si="7"/>
        <v>0</v>
      </c>
      <c r="S35" s="309">
        <f t="shared" si="8"/>
      </c>
      <c r="T35" s="309">
        <f t="shared" si="9"/>
      </c>
      <c r="U35" s="309">
        <f t="shared" si="10"/>
      </c>
    </row>
    <row r="36" spans="1:21" s="61" customFormat="1" ht="12.75">
      <c r="A36" s="213">
        <f t="shared" si="0"/>
        <v>29</v>
      </c>
      <c r="B36" s="528"/>
      <c r="C36" s="532"/>
      <c r="D36" s="220"/>
      <c r="E36" s="529"/>
      <c r="F36" s="220"/>
      <c r="G36" s="220"/>
      <c r="H36" s="530"/>
      <c r="I36" s="531"/>
      <c r="J36" s="511"/>
      <c r="K36" s="306">
        <f t="shared" si="1"/>
        <v>2</v>
      </c>
      <c r="L36" s="307">
        <f t="shared" si="2"/>
        <v>0</v>
      </c>
      <c r="M36" s="307">
        <f t="shared" si="3"/>
        <v>0</v>
      </c>
      <c r="N36" s="308"/>
      <c r="O36" s="309">
        <f t="shared" si="4"/>
        <v>0</v>
      </c>
      <c r="P36" s="309">
        <f t="shared" si="5"/>
        <v>0</v>
      </c>
      <c r="Q36" s="309">
        <f t="shared" si="6"/>
      </c>
      <c r="R36" s="309">
        <f t="shared" si="7"/>
        <v>0</v>
      </c>
      <c r="S36" s="309">
        <f t="shared" si="8"/>
      </c>
      <c r="T36" s="309">
        <f t="shared" si="9"/>
      </c>
      <c r="U36" s="309">
        <f t="shared" si="10"/>
      </c>
    </row>
    <row r="37" spans="1:21" s="61" customFormat="1" ht="12.75">
      <c r="A37" s="213">
        <f t="shared" si="0"/>
        <v>30</v>
      </c>
      <c r="B37" s="528"/>
      <c r="C37" s="532"/>
      <c r="D37" s="220"/>
      <c r="E37" s="529"/>
      <c r="F37" s="220"/>
      <c r="G37" s="220"/>
      <c r="H37" s="530"/>
      <c r="I37" s="531"/>
      <c r="J37" s="511"/>
      <c r="K37" s="306">
        <f t="shared" si="1"/>
        <v>2</v>
      </c>
      <c r="L37" s="307">
        <f t="shared" si="2"/>
        <v>0</v>
      </c>
      <c r="M37" s="307">
        <f t="shared" si="3"/>
        <v>0</v>
      </c>
      <c r="N37" s="308"/>
      <c r="O37" s="309">
        <f t="shared" si="4"/>
        <v>0</v>
      </c>
      <c r="P37" s="309">
        <f t="shared" si="5"/>
        <v>0</v>
      </c>
      <c r="Q37" s="309">
        <f t="shared" si="6"/>
      </c>
      <c r="R37" s="309">
        <f t="shared" si="7"/>
        <v>0</v>
      </c>
      <c r="S37" s="309">
        <f t="shared" si="8"/>
      </c>
      <c r="T37" s="309">
        <f t="shared" si="9"/>
      </c>
      <c r="U37" s="309">
        <f t="shared" si="10"/>
      </c>
    </row>
    <row r="38" spans="1:21" s="61" customFormat="1" ht="12.75">
      <c r="A38" s="213">
        <f t="shared" si="0"/>
        <v>31</v>
      </c>
      <c r="B38" s="528"/>
      <c r="C38" s="532"/>
      <c r="D38" s="220"/>
      <c r="E38" s="529"/>
      <c r="F38" s="220"/>
      <c r="G38" s="220"/>
      <c r="H38" s="530"/>
      <c r="I38" s="531"/>
      <c r="J38" s="511"/>
      <c r="K38" s="306">
        <f t="shared" si="1"/>
        <v>2</v>
      </c>
      <c r="L38" s="307">
        <f t="shared" si="2"/>
        <v>0</v>
      </c>
      <c r="M38" s="307">
        <f t="shared" si="3"/>
        <v>0</v>
      </c>
      <c r="N38" s="308"/>
      <c r="O38" s="309">
        <f t="shared" si="4"/>
        <v>0</v>
      </c>
      <c r="P38" s="309">
        <f t="shared" si="5"/>
        <v>0</v>
      </c>
      <c r="Q38" s="309">
        <f t="shared" si="6"/>
      </c>
      <c r="R38" s="309">
        <f t="shared" si="7"/>
        <v>0</v>
      </c>
      <c r="S38" s="309">
        <f t="shared" si="8"/>
      </c>
      <c r="T38" s="309">
        <f t="shared" si="9"/>
      </c>
      <c r="U38" s="309">
        <f t="shared" si="10"/>
      </c>
    </row>
    <row r="39" spans="1:21" s="61" customFormat="1" ht="12.75">
      <c r="A39" s="213">
        <f aca="true" t="shared" si="11" ref="A39:A70">ROW()-7</f>
        <v>32</v>
      </c>
      <c r="B39" s="528"/>
      <c r="C39" s="532"/>
      <c r="D39" s="220"/>
      <c r="E39" s="529"/>
      <c r="F39" s="220"/>
      <c r="G39" s="220"/>
      <c r="H39" s="530"/>
      <c r="I39" s="531"/>
      <c r="J39" s="511"/>
      <c r="K39" s="306">
        <f t="shared" si="1"/>
        <v>2</v>
      </c>
      <c r="L39" s="307">
        <f t="shared" si="2"/>
        <v>0</v>
      </c>
      <c r="M39" s="307">
        <f t="shared" si="3"/>
        <v>0</v>
      </c>
      <c r="N39" s="308"/>
      <c r="O39" s="309">
        <f t="shared" si="4"/>
        <v>0</v>
      </c>
      <c r="P39" s="309">
        <f t="shared" si="5"/>
        <v>0</v>
      </c>
      <c r="Q39" s="309">
        <f t="shared" si="6"/>
      </c>
      <c r="R39" s="309">
        <f t="shared" si="7"/>
        <v>0</v>
      </c>
      <c r="S39" s="309">
        <f t="shared" si="8"/>
      </c>
      <c r="T39" s="309">
        <f t="shared" si="9"/>
      </c>
      <c r="U39" s="309">
        <f t="shared" si="10"/>
      </c>
    </row>
    <row r="40" spans="1:21" s="61" customFormat="1" ht="12.75">
      <c r="A40" s="213">
        <f t="shared" si="11"/>
        <v>33</v>
      </c>
      <c r="B40" s="528"/>
      <c r="C40" s="532"/>
      <c r="D40" s="220"/>
      <c r="E40" s="529"/>
      <c r="F40" s="220"/>
      <c r="G40" s="220"/>
      <c r="H40" s="530"/>
      <c r="I40" s="531"/>
      <c r="J40" s="511"/>
      <c r="K40" s="306">
        <f aca="true" t="shared" si="12" ref="K40:K71">IF(ISBLANK(C40),2,IF(ISBLANK(H40),0,1))</f>
        <v>2</v>
      </c>
      <c r="L40" s="307">
        <f aca="true" t="shared" si="13" ref="L40:L71">IF(I40="СК",1,0)</f>
        <v>0</v>
      </c>
      <c r="M40" s="307">
        <f aca="true" t="shared" si="14" ref="M40:M71">IF(J40="СК",1,0)*(1-L40)</f>
        <v>0</v>
      </c>
      <c r="N40" s="308"/>
      <c r="O40" s="309">
        <f aca="true" t="shared" si="15" ref="O40:O71">LEN(C40)</f>
        <v>0</v>
      </c>
      <c r="P40" s="309">
        <f aca="true" t="shared" si="16" ref="P40:P71">IF((O40)=0,0,FIND(" ",C40))</f>
        <v>0</v>
      </c>
      <c r="Q40" s="309">
        <f aca="true" t="shared" si="17" ref="Q40:Q71">IF(OR(ISERR(P40),O40=0),"",CONCATENATE(MID(C40,P40+1,1),"."))</f>
      </c>
      <c r="R40" s="309">
        <f aca="true" t="shared" si="18" ref="R40:R71">IF(LEN(C40)=0,0,FIND(" ",C40,P40+1))</f>
        <v>0</v>
      </c>
      <c r="S40" s="309">
        <f aca="true" t="shared" si="19" ref="S40:S71">IF(OR(O40=0,ISERR(R40)),"",CONCATENATE(MID(C40,R40+1,1),"."))</f>
      </c>
      <c r="T40" s="309">
        <f aca="true" t="shared" si="20" ref="T40:T71">IF(C40="","",IF(ISERR(P40),UPPER(C40),UPPER(MID(C40,1,P40-1))))</f>
      </c>
      <c r="U40" s="309">
        <f aca="true" t="shared" si="21" ref="U40:U71">CONCATENATE(Q40,S40)</f>
      </c>
    </row>
    <row r="41" spans="1:21" s="61" customFormat="1" ht="12.75">
      <c r="A41" s="213">
        <f t="shared" si="11"/>
        <v>34</v>
      </c>
      <c r="B41" s="528"/>
      <c r="C41" s="532"/>
      <c r="D41" s="220"/>
      <c r="E41" s="529"/>
      <c r="F41" s="220"/>
      <c r="G41" s="220"/>
      <c r="H41" s="530"/>
      <c r="I41" s="531"/>
      <c r="J41" s="511"/>
      <c r="K41" s="306">
        <f t="shared" si="12"/>
        <v>2</v>
      </c>
      <c r="L41" s="307">
        <f t="shared" si="13"/>
        <v>0</v>
      </c>
      <c r="M41" s="307">
        <f t="shared" si="14"/>
        <v>0</v>
      </c>
      <c r="N41" s="308"/>
      <c r="O41" s="309">
        <f t="shared" si="15"/>
        <v>0</v>
      </c>
      <c r="P41" s="309">
        <f t="shared" si="16"/>
        <v>0</v>
      </c>
      <c r="Q41" s="309">
        <f t="shared" si="17"/>
      </c>
      <c r="R41" s="309">
        <f t="shared" si="18"/>
        <v>0</v>
      </c>
      <c r="S41" s="309">
        <f t="shared" si="19"/>
      </c>
      <c r="T41" s="309">
        <f t="shared" si="20"/>
      </c>
      <c r="U41" s="309">
        <f t="shared" si="21"/>
      </c>
    </row>
    <row r="42" spans="1:21" s="61" customFormat="1" ht="12.75">
      <c r="A42" s="213">
        <f t="shared" si="11"/>
        <v>35</v>
      </c>
      <c r="B42" s="528"/>
      <c r="C42" s="532"/>
      <c r="D42" s="220"/>
      <c r="E42" s="529"/>
      <c r="F42" s="220"/>
      <c r="G42" s="220"/>
      <c r="H42" s="530"/>
      <c r="I42" s="531"/>
      <c r="J42" s="511"/>
      <c r="K42" s="306">
        <f t="shared" si="12"/>
        <v>2</v>
      </c>
      <c r="L42" s="307">
        <f t="shared" si="13"/>
        <v>0</v>
      </c>
      <c r="M42" s="307">
        <f t="shared" si="14"/>
        <v>0</v>
      </c>
      <c r="N42" s="308"/>
      <c r="O42" s="309">
        <f t="shared" si="15"/>
        <v>0</v>
      </c>
      <c r="P42" s="309">
        <f t="shared" si="16"/>
        <v>0</v>
      </c>
      <c r="Q42" s="309">
        <f t="shared" si="17"/>
      </c>
      <c r="R42" s="309">
        <f t="shared" si="18"/>
        <v>0</v>
      </c>
      <c r="S42" s="309">
        <f t="shared" si="19"/>
      </c>
      <c r="T42" s="309">
        <f t="shared" si="20"/>
      </c>
      <c r="U42" s="309">
        <f t="shared" si="21"/>
      </c>
    </row>
    <row r="43" spans="1:21" s="61" customFormat="1" ht="12.75">
      <c r="A43" s="213">
        <f t="shared" si="11"/>
        <v>36</v>
      </c>
      <c r="B43" s="528"/>
      <c r="C43" s="532"/>
      <c r="D43" s="220"/>
      <c r="E43" s="529"/>
      <c r="F43" s="220"/>
      <c r="G43" s="220"/>
      <c r="H43" s="530"/>
      <c r="I43" s="531"/>
      <c r="J43" s="511"/>
      <c r="K43" s="306">
        <f t="shared" si="12"/>
        <v>2</v>
      </c>
      <c r="L43" s="307">
        <f t="shared" si="13"/>
        <v>0</v>
      </c>
      <c r="M43" s="307">
        <f t="shared" si="14"/>
        <v>0</v>
      </c>
      <c r="N43" s="308"/>
      <c r="O43" s="309">
        <f t="shared" si="15"/>
        <v>0</v>
      </c>
      <c r="P43" s="309">
        <f t="shared" si="16"/>
        <v>0</v>
      </c>
      <c r="Q43" s="309">
        <f t="shared" si="17"/>
      </c>
      <c r="R43" s="309">
        <f t="shared" si="18"/>
        <v>0</v>
      </c>
      <c r="S43" s="309">
        <f t="shared" si="19"/>
      </c>
      <c r="T43" s="309">
        <f t="shared" si="20"/>
      </c>
      <c r="U43" s="309">
        <f t="shared" si="21"/>
      </c>
    </row>
    <row r="44" spans="1:21" s="61" customFormat="1" ht="12.75">
      <c r="A44" s="213">
        <f t="shared" si="11"/>
        <v>37</v>
      </c>
      <c r="B44" s="528"/>
      <c r="C44" s="532"/>
      <c r="D44" s="220"/>
      <c r="E44" s="529"/>
      <c r="F44" s="220"/>
      <c r="G44" s="220"/>
      <c r="H44" s="530"/>
      <c r="I44" s="531"/>
      <c r="J44" s="511"/>
      <c r="K44" s="306">
        <f t="shared" si="12"/>
        <v>2</v>
      </c>
      <c r="L44" s="307">
        <f t="shared" si="13"/>
        <v>0</v>
      </c>
      <c r="M44" s="307">
        <f t="shared" si="14"/>
        <v>0</v>
      </c>
      <c r="N44" s="308"/>
      <c r="O44" s="309">
        <f t="shared" si="15"/>
        <v>0</v>
      </c>
      <c r="P44" s="309">
        <f t="shared" si="16"/>
        <v>0</v>
      </c>
      <c r="Q44" s="309">
        <f t="shared" si="17"/>
      </c>
      <c r="R44" s="309">
        <f t="shared" si="18"/>
        <v>0</v>
      </c>
      <c r="S44" s="309">
        <f t="shared" si="19"/>
      </c>
      <c r="T44" s="309">
        <f t="shared" si="20"/>
      </c>
      <c r="U44" s="309">
        <f t="shared" si="21"/>
      </c>
    </row>
    <row r="45" spans="1:21" s="61" customFormat="1" ht="12.75">
      <c r="A45" s="213">
        <f t="shared" si="11"/>
        <v>38</v>
      </c>
      <c r="B45" s="528"/>
      <c r="C45" s="532"/>
      <c r="D45" s="220"/>
      <c r="E45" s="529"/>
      <c r="F45" s="220"/>
      <c r="G45" s="220"/>
      <c r="H45" s="530"/>
      <c r="I45" s="531"/>
      <c r="J45" s="511"/>
      <c r="K45" s="306">
        <f t="shared" si="12"/>
        <v>2</v>
      </c>
      <c r="L45" s="307">
        <f t="shared" si="13"/>
        <v>0</v>
      </c>
      <c r="M45" s="307">
        <f t="shared" si="14"/>
        <v>0</v>
      </c>
      <c r="N45" s="308"/>
      <c r="O45" s="309">
        <f t="shared" si="15"/>
        <v>0</v>
      </c>
      <c r="P45" s="309">
        <f t="shared" si="16"/>
        <v>0</v>
      </c>
      <c r="Q45" s="309">
        <f t="shared" si="17"/>
      </c>
      <c r="R45" s="309">
        <f t="shared" si="18"/>
        <v>0</v>
      </c>
      <c r="S45" s="309">
        <f t="shared" si="19"/>
      </c>
      <c r="T45" s="309">
        <f t="shared" si="20"/>
      </c>
      <c r="U45" s="309">
        <f t="shared" si="21"/>
      </c>
    </row>
    <row r="46" spans="1:21" s="61" customFormat="1" ht="12.75">
      <c r="A46" s="213">
        <f t="shared" si="11"/>
        <v>39</v>
      </c>
      <c r="B46" s="528"/>
      <c r="C46" s="532"/>
      <c r="D46" s="220"/>
      <c r="E46" s="529"/>
      <c r="F46" s="220"/>
      <c r="G46" s="220"/>
      <c r="H46" s="530"/>
      <c r="I46" s="531"/>
      <c r="J46" s="511"/>
      <c r="K46" s="306">
        <f t="shared" si="12"/>
        <v>2</v>
      </c>
      <c r="L46" s="307">
        <f t="shared" si="13"/>
        <v>0</v>
      </c>
      <c r="M46" s="307">
        <f t="shared" si="14"/>
        <v>0</v>
      </c>
      <c r="N46" s="308"/>
      <c r="O46" s="309">
        <f t="shared" si="15"/>
        <v>0</v>
      </c>
      <c r="P46" s="309">
        <f t="shared" si="16"/>
        <v>0</v>
      </c>
      <c r="Q46" s="309">
        <f t="shared" si="17"/>
      </c>
      <c r="R46" s="309">
        <f t="shared" si="18"/>
        <v>0</v>
      </c>
      <c r="S46" s="309">
        <f t="shared" si="19"/>
      </c>
      <c r="T46" s="309">
        <f t="shared" si="20"/>
      </c>
      <c r="U46" s="309">
        <f t="shared" si="21"/>
      </c>
    </row>
    <row r="47" spans="1:21" s="61" customFormat="1" ht="12.75">
      <c r="A47" s="213">
        <f t="shared" si="11"/>
        <v>40</v>
      </c>
      <c r="B47" s="528"/>
      <c r="C47" s="532"/>
      <c r="D47" s="220"/>
      <c r="E47" s="529"/>
      <c r="F47" s="220"/>
      <c r="G47" s="220"/>
      <c r="H47" s="530"/>
      <c r="I47" s="531"/>
      <c r="J47" s="511"/>
      <c r="K47" s="306">
        <f t="shared" si="12"/>
        <v>2</v>
      </c>
      <c r="L47" s="307">
        <f t="shared" si="13"/>
        <v>0</v>
      </c>
      <c r="M47" s="307">
        <f t="shared" si="14"/>
        <v>0</v>
      </c>
      <c r="N47" s="308"/>
      <c r="O47" s="309">
        <f t="shared" si="15"/>
        <v>0</v>
      </c>
      <c r="P47" s="309">
        <f t="shared" si="16"/>
        <v>0</v>
      </c>
      <c r="Q47" s="309">
        <f t="shared" si="17"/>
      </c>
      <c r="R47" s="309">
        <f t="shared" si="18"/>
        <v>0</v>
      </c>
      <c r="S47" s="309">
        <f t="shared" si="19"/>
      </c>
      <c r="T47" s="309">
        <f t="shared" si="20"/>
      </c>
      <c r="U47" s="309">
        <f t="shared" si="21"/>
      </c>
    </row>
    <row r="48" spans="1:21" s="61" customFormat="1" ht="12.75">
      <c r="A48" s="213">
        <f t="shared" si="11"/>
        <v>41</v>
      </c>
      <c r="B48" s="528"/>
      <c r="C48" s="532"/>
      <c r="D48" s="220"/>
      <c r="E48" s="529"/>
      <c r="F48" s="220"/>
      <c r="G48" s="220"/>
      <c r="H48" s="530"/>
      <c r="I48" s="531"/>
      <c r="J48" s="511"/>
      <c r="K48" s="306">
        <f t="shared" si="12"/>
        <v>2</v>
      </c>
      <c r="L48" s="307">
        <f t="shared" si="13"/>
        <v>0</v>
      </c>
      <c r="M48" s="307">
        <f t="shared" si="14"/>
        <v>0</v>
      </c>
      <c r="N48" s="308"/>
      <c r="O48" s="309">
        <f t="shared" si="15"/>
        <v>0</v>
      </c>
      <c r="P48" s="309">
        <f t="shared" si="16"/>
        <v>0</v>
      </c>
      <c r="Q48" s="309">
        <f t="shared" si="17"/>
      </c>
      <c r="R48" s="309">
        <f t="shared" si="18"/>
        <v>0</v>
      </c>
      <c r="S48" s="309">
        <f t="shared" si="19"/>
      </c>
      <c r="T48" s="309">
        <f t="shared" si="20"/>
      </c>
      <c r="U48" s="309">
        <f t="shared" si="21"/>
      </c>
    </row>
    <row r="49" spans="1:21" s="61" customFormat="1" ht="12.75">
      <c r="A49" s="213">
        <f t="shared" si="11"/>
        <v>42</v>
      </c>
      <c r="B49" s="528"/>
      <c r="C49" s="532"/>
      <c r="D49" s="220"/>
      <c r="E49" s="529"/>
      <c r="F49" s="220"/>
      <c r="G49" s="220"/>
      <c r="H49" s="530"/>
      <c r="I49" s="531"/>
      <c r="J49" s="511"/>
      <c r="K49" s="306">
        <f t="shared" si="12"/>
        <v>2</v>
      </c>
      <c r="L49" s="307">
        <f t="shared" si="13"/>
        <v>0</v>
      </c>
      <c r="M49" s="307">
        <f t="shared" si="14"/>
        <v>0</v>
      </c>
      <c r="N49" s="308"/>
      <c r="O49" s="309">
        <f t="shared" si="15"/>
        <v>0</v>
      </c>
      <c r="P49" s="309">
        <f t="shared" si="16"/>
        <v>0</v>
      </c>
      <c r="Q49" s="309">
        <f t="shared" si="17"/>
      </c>
      <c r="R49" s="309">
        <f t="shared" si="18"/>
        <v>0</v>
      </c>
      <c r="S49" s="309">
        <f t="shared" si="19"/>
      </c>
      <c r="T49" s="309">
        <f t="shared" si="20"/>
      </c>
      <c r="U49" s="309">
        <f t="shared" si="21"/>
      </c>
    </row>
    <row r="50" spans="1:21" s="61" customFormat="1" ht="12.75">
      <c r="A50" s="213">
        <f t="shared" si="11"/>
        <v>43</v>
      </c>
      <c r="B50" s="528"/>
      <c r="C50" s="532"/>
      <c r="D50" s="220"/>
      <c r="E50" s="529"/>
      <c r="F50" s="220"/>
      <c r="G50" s="220"/>
      <c r="H50" s="530"/>
      <c r="I50" s="531"/>
      <c r="J50" s="511"/>
      <c r="K50" s="306">
        <f t="shared" si="12"/>
        <v>2</v>
      </c>
      <c r="L50" s="307">
        <f t="shared" si="13"/>
        <v>0</v>
      </c>
      <c r="M50" s="307">
        <f t="shared" si="14"/>
        <v>0</v>
      </c>
      <c r="N50" s="308"/>
      <c r="O50" s="309">
        <f t="shared" si="15"/>
        <v>0</v>
      </c>
      <c r="P50" s="309">
        <f t="shared" si="16"/>
        <v>0</v>
      </c>
      <c r="Q50" s="309">
        <f t="shared" si="17"/>
      </c>
      <c r="R50" s="309">
        <f t="shared" si="18"/>
        <v>0</v>
      </c>
      <c r="S50" s="309">
        <f t="shared" si="19"/>
      </c>
      <c r="T50" s="309">
        <f t="shared" si="20"/>
      </c>
      <c r="U50" s="309">
        <f t="shared" si="21"/>
      </c>
    </row>
    <row r="51" spans="1:21" s="61" customFormat="1" ht="12.75">
      <c r="A51" s="213">
        <f t="shared" si="11"/>
        <v>44</v>
      </c>
      <c r="B51" s="528"/>
      <c r="C51" s="532"/>
      <c r="D51" s="220"/>
      <c r="E51" s="529"/>
      <c r="F51" s="220"/>
      <c r="G51" s="220"/>
      <c r="H51" s="530"/>
      <c r="I51" s="531"/>
      <c r="J51" s="511"/>
      <c r="K51" s="306">
        <f t="shared" si="12"/>
        <v>2</v>
      </c>
      <c r="L51" s="307">
        <f t="shared" si="13"/>
        <v>0</v>
      </c>
      <c r="M51" s="307">
        <f t="shared" si="14"/>
        <v>0</v>
      </c>
      <c r="N51" s="308"/>
      <c r="O51" s="309">
        <f t="shared" si="15"/>
        <v>0</v>
      </c>
      <c r="P51" s="309">
        <f t="shared" si="16"/>
        <v>0</v>
      </c>
      <c r="Q51" s="309">
        <f t="shared" si="17"/>
      </c>
      <c r="R51" s="309">
        <f t="shared" si="18"/>
        <v>0</v>
      </c>
      <c r="S51" s="309">
        <f t="shared" si="19"/>
      </c>
      <c r="T51" s="309">
        <f t="shared" si="20"/>
      </c>
      <c r="U51" s="309">
        <f t="shared" si="21"/>
      </c>
    </row>
    <row r="52" spans="1:21" s="61" customFormat="1" ht="12.75">
      <c r="A52" s="213">
        <f t="shared" si="11"/>
        <v>45</v>
      </c>
      <c r="B52" s="528"/>
      <c r="C52" s="532"/>
      <c r="D52" s="220"/>
      <c r="E52" s="529"/>
      <c r="F52" s="220"/>
      <c r="G52" s="220"/>
      <c r="H52" s="530"/>
      <c r="I52" s="531"/>
      <c r="J52" s="511"/>
      <c r="K52" s="306">
        <f t="shared" si="12"/>
        <v>2</v>
      </c>
      <c r="L52" s="307">
        <f t="shared" si="13"/>
        <v>0</v>
      </c>
      <c r="M52" s="307">
        <f t="shared" si="14"/>
        <v>0</v>
      </c>
      <c r="N52" s="308"/>
      <c r="O52" s="309">
        <f t="shared" si="15"/>
        <v>0</v>
      </c>
      <c r="P52" s="309">
        <f t="shared" si="16"/>
        <v>0</v>
      </c>
      <c r="Q52" s="309">
        <f t="shared" si="17"/>
      </c>
      <c r="R52" s="309">
        <f t="shared" si="18"/>
        <v>0</v>
      </c>
      <c r="S52" s="309">
        <f t="shared" si="19"/>
      </c>
      <c r="T52" s="309">
        <f t="shared" si="20"/>
      </c>
      <c r="U52" s="309">
        <f t="shared" si="21"/>
      </c>
    </row>
    <row r="53" spans="1:21" s="61" customFormat="1" ht="12.75">
      <c r="A53" s="213">
        <f t="shared" si="11"/>
        <v>46</v>
      </c>
      <c r="B53" s="528"/>
      <c r="C53" s="532"/>
      <c r="D53" s="220"/>
      <c r="E53" s="529"/>
      <c r="F53" s="220"/>
      <c r="G53" s="220"/>
      <c r="H53" s="530"/>
      <c r="I53" s="531"/>
      <c r="J53" s="511"/>
      <c r="K53" s="306">
        <f t="shared" si="12"/>
        <v>2</v>
      </c>
      <c r="L53" s="307">
        <f t="shared" si="13"/>
        <v>0</v>
      </c>
      <c r="M53" s="307">
        <f t="shared" si="14"/>
        <v>0</v>
      </c>
      <c r="N53" s="308"/>
      <c r="O53" s="309">
        <f t="shared" si="15"/>
        <v>0</v>
      </c>
      <c r="P53" s="309">
        <f t="shared" si="16"/>
        <v>0</v>
      </c>
      <c r="Q53" s="309">
        <f t="shared" si="17"/>
      </c>
      <c r="R53" s="309">
        <f t="shared" si="18"/>
        <v>0</v>
      </c>
      <c r="S53" s="309">
        <f t="shared" si="19"/>
      </c>
      <c r="T53" s="309">
        <f t="shared" si="20"/>
      </c>
      <c r="U53" s="309">
        <f t="shared" si="21"/>
      </c>
    </row>
    <row r="54" spans="1:21" s="61" customFormat="1" ht="12.75">
      <c r="A54" s="213">
        <f t="shared" si="11"/>
        <v>47</v>
      </c>
      <c r="B54" s="528"/>
      <c r="C54" s="532"/>
      <c r="D54" s="220"/>
      <c r="E54" s="529"/>
      <c r="F54" s="220"/>
      <c r="G54" s="220"/>
      <c r="H54" s="530"/>
      <c r="I54" s="531"/>
      <c r="J54" s="511"/>
      <c r="K54" s="306">
        <f t="shared" si="12"/>
        <v>2</v>
      </c>
      <c r="L54" s="307">
        <f t="shared" si="13"/>
        <v>0</v>
      </c>
      <c r="M54" s="307">
        <f t="shared" si="14"/>
        <v>0</v>
      </c>
      <c r="N54" s="308"/>
      <c r="O54" s="309">
        <f t="shared" si="15"/>
        <v>0</v>
      </c>
      <c r="P54" s="309">
        <f t="shared" si="16"/>
        <v>0</v>
      </c>
      <c r="Q54" s="309">
        <f t="shared" si="17"/>
      </c>
      <c r="R54" s="309">
        <f t="shared" si="18"/>
        <v>0</v>
      </c>
      <c r="S54" s="309">
        <f t="shared" si="19"/>
      </c>
      <c r="T54" s="309">
        <f t="shared" si="20"/>
      </c>
      <c r="U54" s="309">
        <f t="shared" si="21"/>
      </c>
    </row>
    <row r="55" spans="1:21" s="61" customFormat="1" ht="12.75">
      <c r="A55" s="213">
        <f t="shared" si="11"/>
        <v>48</v>
      </c>
      <c r="B55" s="528"/>
      <c r="C55" s="532"/>
      <c r="D55" s="220"/>
      <c r="E55" s="529"/>
      <c r="F55" s="220"/>
      <c r="G55" s="220"/>
      <c r="H55" s="530"/>
      <c r="I55" s="531"/>
      <c r="J55" s="511"/>
      <c r="K55" s="306">
        <f t="shared" si="12"/>
        <v>2</v>
      </c>
      <c r="L55" s="307">
        <f t="shared" si="13"/>
        <v>0</v>
      </c>
      <c r="M55" s="307">
        <f t="shared" si="14"/>
        <v>0</v>
      </c>
      <c r="N55" s="308"/>
      <c r="O55" s="309">
        <f t="shared" si="15"/>
        <v>0</v>
      </c>
      <c r="P55" s="309">
        <f t="shared" si="16"/>
        <v>0</v>
      </c>
      <c r="Q55" s="309">
        <f t="shared" si="17"/>
      </c>
      <c r="R55" s="309">
        <f t="shared" si="18"/>
        <v>0</v>
      </c>
      <c r="S55" s="309">
        <f t="shared" si="19"/>
      </c>
      <c r="T55" s="309">
        <f t="shared" si="20"/>
      </c>
      <c r="U55" s="309">
        <f t="shared" si="21"/>
      </c>
    </row>
    <row r="56" spans="1:21" s="61" customFormat="1" ht="12.75">
      <c r="A56" s="213">
        <f t="shared" si="11"/>
        <v>49</v>
      </c>
      <c r="B56" s="528"/>
      <c r="C56" s="532"/>
      <c r="D56" s="220"/>
      <c r="E56" s="529"/>
      <c r="F56" s="220"/>
      <c r="G56" s="220"/>
      <c r="H56" s="530"/>
      <c r="I56" s="531"/>
      <c r="J56" s="511"/>
      <c r="K56" s="306">
        <f t="shared" si="12"/>
        <v>2</v>
      </c>
      <c r="L56" s="307">
        <f t="shared" si="13"/>
        <v>0</v>
      </c>
      <c r="M56" s="307">
        <f t="shared" si="14"/>
        <v>0</v>
      </c>
      <c r="N56" s="308"/>
      <c r="O56" s="309">
        <f t="shared" si="15"/>
        <v>0</v>
      </c>
      <c r="P56" s="309">
        <f t="shared" si="16"/>
        <v>0</v>
      </c>
      <c r="Q56" s="309">
        <f t="shared" si="17"/>
      </c>
      <c r="R56" s="309">
        <f t="shared" si="18"/>
        <v>0</v>
      </c>
      <c r="S56" s="309">
        <f t="shared" si="19"/>
      </c>
      <c r="T56" s="309">
        <f t="shared" si="20"/>
      </c>
      <c r="U56" s="309">
        <f t="shared" si="21"/>
      </c>
    </row>
    <row r="57" spans="1:21" s="61" customFormat="1" ht="12.75">
      <c r="A57" s="213">
        <f t="shared" si="11"/>
        <v>50</v>
      </c>
      <c r="B57" s="528"/>
      <c r="C57" s="532"/>
      <c r="D57" s="220"/>
      <c r="E57" s="529"/>
      <c r="F57" s="220"/>
      <c r="G57" s="220"/>
      <c r="H57" s="530"/>
      <c r="I57" s="531"/>
      <c r="J57" s="511"/>
      <c r="K57" s="306">
        <f t="shared" si="12"/>
        <v>2</v>
      </c>
      <c r="L57" s="307">
        <f t="shared" si="13"/>
        <v>0</v>
      </c>
      <c r="M57" s="307">
        <f t="shared" si="14"/>
        <v>0</v>
      </c>
      <c r="N57" s="308"/>
      <c r="O57" s="309">
        <f t="shared" si="15"/>
        <v>0</v>
      </c>
      <c r="P57" s="309">
        <f t="shared" si="16"/>
        <v>0</v>
      </c>
      <c r="Q57" s="309">
        <f t="shared" si="17"/>
      </c>
      <c r="R57" s="309">
        <f t="shared" si="18"/>
        <v>0</v>
      </c>
      <c r="S57" s="309">
        <f t="shared" si="19"/>
      </c>
      <c r="T57" s="309">
        <f t="shared" si="20"/>
      </c>
      <c r="U57" s="309">
        <f t="shared" si="21"/>
      </c>
    </row>
    <row r="58" spans="1:21" s="61" customFormat="1" ht="12.75">
      <c r="A58" s="213">
        <f t="shared" si="11"/>
        <v>51</v>
      </c>
      <c r="B58" s="528"/>
      <c r="C58" s="532"/>
      <c r="D58" s="220"/>
      <c r="E58" s="529"/>
      <c r="F58" s="220"/>
      <c r="G58" s="220"/>
      <c r="H58" s="530"/>
      <c r="I58" s="531"/>
      <c r="J58" s="511"/>
      <c r="K58" s="306">
        <f t="shared" si="12"/>
        <v>2</v>
      </c>
      <c r="L58" s="307">
        <f t="shared" si="13"/>
        <v>0</v>
      </c>
      <c r="M58" s="307">
        <f t="shared" si="14"/>
        <v>0</v>
      </c>
      <c r="N58" s="308"/>
      <c r="O58" s="309">
        <f t="shared" si="15"/>
        <v>0</v>
      </c>
      <c r="P58" s="309">
        <f t="shared" si="16"/>
        <v>0</v>
      </c>
      <c r="Q58" s="309">
        <f t="shared" si="17"/>
      </c>
      <c r="R58" s="309">
        <f t="shared" si="18"/>
        <v>0</v>
      </c>
      <c r="S58" s="309">
        <f t="shared" si="19"/>
      </c>
      <c r="T58" s="309">
        <f t="shared" si="20"/>
      </c>
      <c r="U58" s="309">
        <f t="shared" si="21"/>
      </c>
    </row>
    <row r="59" spans="1:21" s="61" customFormat="1" ht="12.75">
      <c r="A59" s="213">
        <f t="shared" si="11"/>
        <v>52</v>
      </c>
      <c r="B59" s="528"/>
      <c r="C59" s="532"/>
      <c r="D59" s="220"/>
      <c r="E59" s="529"/>
      <c r="F59" s="220"/>
      <c r="G59" s="220"/>
      <c r="H59" s="530"/>
      <c r="I59" s="531"/>
      <c r="J59" s="511"/>
      <c r="K59" s="306">
        <f t="shared" si="12"/>
        <v>2</v>
      </c>
      <c r="L59" s="307">
        <f t="shared" si="13"/>
        <v>0</v>
      </c>
      <c r="M59" s="307">
        <f t="shared" si="14"/>
        <v>0</v>
      </c>
      <c r="N59" s="308"/>
      <c r="O59" s="309">
        <f t="shared" si="15"/>
        <v>0</v>
      </c>
      <c r="P59" s="309">
        <f t="shared" si="16"/>
        <v>0</v>
      </c>
      <c r="Q59" s="309">
        <f t="shared" si="17"/>
      </c>
      <c r="R59" s="309">
        <f t="shared" si="18"/>
        <v>0</v>
      </c>
      <c r="S59" s="309">
        <f t="shared" si="19"/>
      </c>
      <c r="T59" s="309">
        <f t="shared" si="20"/>
      </c>
      <c r="U59" s="309">
        <f t="shared" si="21"/>
      </c>
    </row>
    <row r="60" spans="1:21" s="61" customFormat="1" ht="12.75">
      <c r="A60" s="213">
        <f t="shared" si="11"/>
        <v>53</v>
      </c>
      <c r="B60" s="528"/>
      <c r="C60" s="532"/>
      <c r="D60" s="220"/>
      <c r="E60" s="529"/>
      <c r="F60" s="220"/>
      <c r="G60" s="220"/>
      <c r="H60" s="530"/>
      <c r="I60" s="531"/>
      <c r="J60" s="511"/>
      <c r="K60" s="306">
        <f t="shared" si="12"/>
        <v>2</v>
      </c>
      <c r="L60" s="307">
        <f t="shared" si="13"/>
        <v>0</v>
      </c>
      <c r="M60" s="307">
        <f t="shared" si="14"/>
        <v>0</v>
      </c>
      <c r="N60" s="308"/>
      <c r="O60" s="309">
        <f t="shared" si="15"/>
        <v>0</v>
      </c>
      <c r="P60" s="309">
        <f t="shared" si="16"/>
        <v>0</v>
      </c>
      <c r="Q60" s="309">
        <f t="shared" si="17"/>
      </c>
      <c r="R60" s="309">
        <f t="shared" si="18"/>
        <v>0</v>
      </c>
      <c r="S60" s="309">
        <f t="shared" si="19"/>
      </c>
      <c r="T60" s="309">
        <f t="shared" si="20"/>
      </c>
      <c r="U60" s="309">
        <f t="shared" si="21"/>
      </c>
    </row>
    <row r="61" spans="1:21" s="61" customFormat="1" ht="12.75">
      <c r="A61" s="213">
        <f t="shared" si="11"/>
        <v>54</v>
      </c>
      <c r="B61" s="528"/>
      <c r="C61" s="532"/>
      <c r="D61" s="220"/>
      <c r="E61" s="529"/>
      <c r="F61" s="220"/>
      <c r="G61" s="220"/>
      <c r="H61" s="530"/>
      <c r="I61" s="531"/>
      <c r="J61" s="511"/>
      <c r="K61" s="306">
        <f t="shared" si="12"/>
        <v>2</v>
      </c>
      <c r="L61" s="307">
        <f t="shared" si="13"/>
        <v>0</v>
      </c>
      <c r="M61" s="307">
        <f t="shared" si="14"/>
        <v>0</v>
      </c>
      <c r="N61" s="308"/>
      <c r="O61" s="309">
        <f t="shared" si="15"/>
        <v>0</v>
      </c>
      <c r="P61" s="309">
        <f t="shared" si="16"/>
        <v>0</v>
      </c>
      <c r="Q61" s="309">
        <f t="shared" si="17"/>
      </c>
      <c r="R61" s="309">
        <f t="shared" si="18"/>
        <v>0</v>
      </c>
      <c r="S61" s="309">
        <f t="shared" si="19"/>
      </c>
      <c r="T61" s="309">
        <f t="shared" si="20"/>
      </c>
      <c r="U61" s="309">
        <f t="shared" si="21"/>
      </c>
    </row>
    <row r="62" spans="1:21" s="61" customFormat="1" ht="12.75">
      <c r="A62" s="213">
        <f t="shared" si="11"/>
        <v>55</v>
      </c>
      <c r="B62" s="528"/>
      <c r="C62" s="532"/>
      <c r="D62" s="220"/>
      <c r="E62" s="529"/>
      <c r="F62" s="220"/>
      <c r="G62" s="220"/>
      <c r="H62" s="530"/>
      <c r="I62" s="531"/>
      <c r="J62" s="511"/>
      <c r="K62" s="306">
        <f t="shared" si="12"/>
        <v>2</v>
      </c>
      <c r="L62" s="307">
        <f t="shared" si="13"/>
        <v>0</v>
      </c>
      <c r="M62" s="307">
        <f t="shared" si="14"/>
        <v>0</v>
      </c>
      <c r="N62" s="308"/>
      <c r="O62" s="309">
        <f t="shared" si="15"/>
        <v>0</v>
      </c>
      <c r="P62" s="309">
        <f t="shared" si="16"/>
        <v>0</v>
      </c>
      <c r="Q62" s="309">
        <f t="shared" si="17"/>
      </c>
      <c r="R62" s="309">
        <f t="shared" si="18"/>
        <v>0</v>
      </c>
      <c r="S62" s="309">
        <f t="shared" si="19"/>
      </c>
      <c r="T62" s="309">
        <f t="shared" si="20"/>
      </c>
      <c r="U62" s="309">
        <f t="shared" si="21"/>
      </c>
    </row>
    <row r="63" spans="1:21" s="61" customFormat="1" ht="12.75">
      <c r="A63" s="213">
        <f t="shared" si="11"/>
        <v>56</v>
      </c>
      <c r="B63" s="528"/>
      <c r="C63" s="532"/>
      <c r="D63" s="220"/>
      <c r="E63" s="529"/>
      <c r="F63" s="220"/>
      <c r="G63" s="220"/>
      <c r="H63" s="530"/>
      <c r="I63" s="531"/>
      <c r="J63" s="511"/>
      <c r="K63" s="306">
        <f t="shared" si="12"/>
        <v>2</v>
      </c>
      <c r="L63" s="307">
        <f t="shared" si="13"/>
        <v>0</v>
      </c>
      <c r="M63" s="307">
        <f t="shared" si="14"/>
        <v>0</v>
      </c>
      <c r="N63" s="308"/>
      <c r="O63" s="309">
        <f t="shared" si="15"/>
        <v>0</v>
      </c>
      <c r="P63" s="309">
        <f t="shared" si="16"/>
        <v>0</v>
      </c>
      <c r="Q63" s="309">
        <f t="shared" si="17"/>
      </c>
      <c r="R63" s="309">
        <f t="shared" si="18"/>
        <v>0</v>
      </c>
      <c r="S63" s="309">
        <f t="shared" si="19"/>
      </c>
      <c r="T63" s="309">
        <f t="shared" si="20"/>
      </c>
      <c r="U63" s="309">
        <f t="shared" si="21"/>
      </c>
    </row>
    <row r="64" spans="1:21" ht="12.75">
      <c r="A64" s="213">
        <f t="shared" si="11"/>
        <v>57</v>
      </c>
      <c r="B64" s="528"/>
      <c r="C64" s="532"/>
      <c r="D64" s="220"/>
      <c r="E64" s="529"/>
      <c r="F64" s="220"/>
      <c r="G64" s="220"/>
      <c r="H64" s="530"/>
      <c r="I64" s="531"/>
      <c r="J64" s="511"/>
      <c r="K64" s="306">
        <f t="shared" si="12"/>
        <v>2</v>
      </c>
      <c r="L64" s="307">
        <f t="shared" si="13"/>
        <v>0</v>
      </c>
      <c r="M64" s="307">
        <f t="shared" si="14"/>
        <v>0</v>
      </c>
      <c r="N64" s="310"/>
      <c r="O64" s="309">
        <f t="shared" si="15"/>
        <v>0</v>
      </c>
      <c r="P64" s="309">
        <f t="shared" si="16"/>
        <v>0</v>
      </c>
      <c r="Q64" s="309">
        <f t="shared" si="17"/>
      </c>
      <c r="R64" s="309">
        <f t="shared" si="18"/>
        <v>0</v>
      </c>
      <c r="S64" s="309">
        <f t="shared" si="19"/>
      </c>
      <c r="T64" s="309">
        <f t="shared" si="20"/>
      </c>
      <c r="U64" s="309">
        <f t="shared" si="21"/>
      </c>
    </row>
    <row r="65" spans="1:21" s="61" customFormat="1" ht="12.75">
      <c r="A65" s="213">
        <f t="shared" si="11"/>
        <v>58</v>
      </c>
      <c r="B65" s="528"/>
      <c r="C65" s="532"/>
      <c r="D65" s="220"/>
      <c r="E65" s="529"/>
      <c r="F65" s="220"/>
      <c r="G65" s="220"/>
      <c r="H65" s="530"/>
      <c r="I65" s="531"/>
      <c r="J65" s="511"/>
      <c r="K65" s="306">
        <f t="shared" si="12"/>
        <v>2</v>
      </c>
      <c r="L65" s="307">
        <f t="shared" si="13"/>
        <v>0</v>
      </c>
      <c r="M65" s="307">
        <f t="shared" si="14"/>
        <v>0</v>
      </c>
      <c r="N65" s="308"/>
      <c r="O65" s="309">
        <f t="shared" si="15"/>
        <v>0</v>
      </c>
      <c r="P65" s="309">
        <f t="shared" si="16"/>
        <v>0</v>
      </c>
      <c r="Q65" s="309">
        <f t="shared" si="17"/>
      </c>
      <c r="R65" s="309">
        <f t="shared" si="18"/>
        <v>0</v>
      </c>
      <c r="S65" s="309">
        <f t="shared" si="19"/>
      </c>
      <c r="T65" s="309">
        <f t="shared" si="20"/>
      </c>
      <c r="U65" s="309">
        <f t="shared" si="21"/>
      </c>
    </row>
    <row r="66" spans="1:21" s="61" customFormat="1" ht="12.75">
      <c r="A66" s="213">
        <f t="shared" si="11"/>
        <v>59</v>
      </c>
      <c r="B66" s="528"/>
      <c r="C66" s="532"/>
      <c r="D66" s="220"/>
      <c r="E66" s="529"/>
      <c r="F66" s="220"/>
      <c r="G66" s="220"/>
      <c r="H66" s="530"/>
      <c r="I66" s="531"/>
      <c r="J66" s="511"/>
      <c r="K66" s="306">
        <f t="shared" si="12"/>
        <v>2</v>
      </c>
      <c r="L66" s="307">
        <f t="shared" si="13"/>
        <v>0</v>
      </c>
      <c r="M66" s="307">
        <f t="shared" si="14"/>
        <v>0</v>
      </c>
      <c r="N66" s="308"/>
      <c r="O66" s="309">
        <f t="shared" si="15"/>
        <v>0</v>
      </c>
      <c r="P66" s="309">
        <f t="shared" si="16"/>
        <v>0</v>
      </c>
      <c r="Q66" s="309">
        <f t="shared" si="17"/>
      </c>
      <c r="R66" s="309">
        <f t="shared" si="18"/>
        <v>0</v>
      </c>
      <c r="S66" s="309">
        <f t="shared" si="19"/>
      </c>
      <c r="T66" s="309">
        <f t="shared" si="20"/>
      </c>
      <c r="U66" s="309">
        <f t="shared" si="21"/>
      </c>
    </row>
    <row r="67" spans="1:21" s="61" customFormat="1" ht="12.75">
      <c r="A67" s="213">
        <f t="shared" si="11"/>
        <v>60</v>
      </c>
      <c r="B67" s="528"/>
      <c r="C67" s="532"/>
      <c r="D67" s="220"/>
      <c r="E67" s="529"/>
      <c r="F67" s="220"/>
      <c r="G67" s="220"/>
      <c r="H67" s="530"/>
      <c r="I67" s="531"/>
      <c r="J67" s="511"/>
      <c r="K67" s="306">
        <f t="shared" si="12"/>
        <v>2</v>
      </c>
      <c r="L67" s="307">
        <f t="shared" si="13"/>
        <v>0</v>
      </c>
      <c r="M67" s="307">
        <f t="shared" si="14"/>
        <v>0</v>
      </c>
      <c r="N67" s="308"/>
      <c r="O67" s="309">
        <f t="shared" si="15"/>
        <v>0</v>
      </c>
      <c r="P67" s="309">
        <f t="shared" si="16"/>
        <v>0</v>
      </c>
      <c r="Q67" s="309">
        <f t="shared" si="17"/>
      </c>
      <c r="R67" s="309">
        <f t="shared" si="18"/>
        <v>0</v>
      </c>
      <c r="S67" s="309">
        <f t="shared" si="19"/>
      </c>
      <c r="T67" s="309">
        <f t="shared" si="20"/>
      </c>
      <c r="U67" s="309">
        <f t="shared" si="21"/>
      </c>
    </row>
    <row r="68" spans="1:21" s="61" customFormat="1" ht="12.75">
      <c r="A68" s="213">
        <f t="shared" si="11"/>
        <v>61</v>
      </c>
      <c r="B68" s="528"/>
      <c r="C68" s="532"/>
      <c r="D68" s="220"/>
      <c r="E68" s="529"/>
      <c r="F68" s="220"/>
      <c r="G68" s="220"/>
      <c r="H68" s="530"/>
      <c r="I68" s="531"/>
      <c r="J68" s="511"/>
      <c r="K68" s="306">
        <f t="shared" si="12"/>
        <v>2</v>
      </c>
      <c r="L68" s="307">
        <f t="shared" si="13"/>
        <v>0</v>
      </c>
      <c r="M68" s="307">
        <f t="shared" si="14"/>
        <v>0</v>
      </c>
      <c r="N68" s="308"/>
      <c r="O68" s="309">
        <f t="shared" si="15"/>
        <v>0</v>
      </c>
      <c r="P68" s="309">
        <f t="shared" si="16"/>
        <v>0</v>
      </c>
      <c r="Q68" s="309">
        <f t="shared" si="17"/>
      </c>
      <c r="R68" s="309">
        <f t="shared" si="18"/>
        <v>0</v>
      </c>
      <c r="S68" s="309">
        <f t="shared" si="19"/>
      </c>
      <c r="T68" s="309">
        <f t="shared" si="20"/>
      </c>
      <c r="U68" s="309">
        <f t="shared" si="21"/>
      </c>
    </row>
    <row r="69" spans="1:21" s="61" customFormat="1" ht="12.75">
      <c r="A69" s="213">
        <f t="shared" si="11"/>
        <v>62</v>
      </c>
      <c r="B69" s="528"/>
      <c r="C69" s="532"/>
      <c r="D69" s="220"/>
      <c r="E69" s="529"/>
      <c r="F69" s="220"/>
      <c r="G69" s="220"/>
      <c r="H69" s="530"/>
      <c r="I69" s="531"/>
      <c r="J69" s="511"/>
      <c r="K69" s="306">
        <f t="shared" si="12"/>
        <v>2</v>
      </c>
      <c r="L69" s="307">
        <f t="shared" si="13"/>
        <v>0</v>
      </c>
      <c r="M69" s="307">
        <f t="shared" si="14"/>
        <v>0</v>
      </c>
      <c r="N69" s="308"/>
      <c r="O69" s="309">
        <f t="shared" si="15"/>
        <v>0</v>
      </c>
      <c r="P69" s="309">
        <f t="shared" si="16"/>
        <v>0</v>
      </c>
      <c r="Q69" s="309">
        <f t="shared" si="17"/>
      </c>
      <c r="R69" s="309">
        <f t="shared" si="18"/>
        <v>0</v>
      </c>
      <c r="S69" s="309">
        <f t="shared" si="19"/>
      </c>
      <c r="T69" s="309">
        <f t="shared" si="20"/>
      </c>
      <c r="U69" s="309">
        <f t="shared" si="21"/>
      </c>
    </row>
    <row r="70" spans="1:21" s="61" customFormat="1" ht="12.75">
      <c r="A70" s="213">
        <f t="shared" si="11"/>
        <v>63</v>
      </c>
      <c r="B70" s="528"/>
      <c r="C70" s="532"/>
      <c r="D70" s="220"/>
      <c r="E70" s="529"/>
      <c r="F70" s="220"/>
      <c r="G70" s="220"/>
      <c r="H70" s="530"/>
      <c r="I70" s="531"/>
      <c r="J70" s="511"/>
      <c r="K70" s="306">
        <f t="shared" si="12"/>
        <v>2</v>
      </c>
      <c r="L70" s="307">
        <f t="shared" si="13"/>
        <v>0</v>
      </c>
      <c r="M70" s="307">
        <f t="shared" si="14"/>
        <v>0</v>
      </c>
      <c r="N70" s="308"/>
      <c r="O70" s="309">
        <f t="shared" si="15"/>
        <v>0</v>
      </c>
      <c r="P70" s="309">
        <f t="shared" si="16"/>
        <v>0</v>
      </c>
      <c r="Q70" s="309">
        <f t="shared" si="17"/>
      </c>
      <c r="R70" s="309">
        <f t="shared" si="18"/>
        <v>0</v>
      </c>
      <c r="S70" s="309">
        <f t="shared" si="19"/>
      </c>
      <c r="T70" s="309">
        <f t="shared" si="20"/>
      </c>
      <c r="U70" s="309">
        <f t="shared" si="21"/>
      </c>
    </row>
    <row r="71" spans="1:21" s="61" customFormat="1" ht="12.75">
      <c r="A71" s="213">
        <f aca="true" t="shared" si="22" ref="A71:A77">ROW()-7</f>
        <v>64</v>
      </c>
      <c r="B71" s="528"/>
      <c r="C71" s="532"/>
      <c r="D71" s="220"/>
      <c r="E71" s="529"/>
      <c r="F71" s="220"/>
      <c r="G71" s="220"/>
      <c r="H71" s="530"/>
      <c r="I71" s="531"/>
      <c r="J71" s="511"/>
      <c r="K71" s="306">
        <f t="shared" si="12"/>
        <v>2</v>
      </c>
      <c r="L71" s="307">
        <f t="shared" si="13"/>
        <v>0</v>
      </c>
      <c r="M71" s="307">
        <f t="shared" si="14"/>
        <v>0</v>
      </c>
      <c r="N71" s="308"/>
      <c r="O71" s="309">
        <f t="shared" si="15"/>
        <v>0</v>
      </c>
      <c r="P71" s="309">
        <f t="shared" si="16"/>
        <v>0</v>
      </c>
      <c r="Q71" s="309">
        <f t="shared" si="17"/>
      </c>
      <c r="R71" s="309">
        <f t="shared" si="18"/>
        <v>0</v>
      </c>
      <c r="S71" s="309">
        <f t="shared" si="19"/>
      </c>
      <c r="T71" s="309">
        <f t="shared" si="20"/>
      </c>
      <c r="U71" s="309">
        <f t="shared" si="21"/>
      </c>
    </row>
    <row r="72" spans="1:21" s="61" customFormat="1" ht="12.75">
      <c r="A72" s="213">
        <f t="shared" si="22"/>
        <v>65</v>
      </c>
      <c r="B72" s="528"/>
      <c r="C72" s="532"/>
      <c r="D72" s="220"/>
      <c r="E72" s="529"/>
      <c r="F72" s="220"/>
      <c r="G72" s="220"/>
      <c r="H72" s="530"/>
      <c r="I72" s="531"/>
      <c r="J72" s="511"/>
      <c r="K72" s="306">
        <f aca="true" t="shared" si="23" ref="K72:K77">IF(ISBLANK(C72),2,IF(ISBLANK(H72),0,1))</f>
        <v>2</v>
      </c>
      <c r="L72" s="307">
        <f aca="true" t="shared" si="24" ref="L72:L77">IF(I72="СК",1,0)</f>
        <v>0</v>
      </c>
      <c r="M72" s="307">
        <f aca="true" t="shared" si="25" ref="M72:M77">IF(J72="СК",1,0)*(1-L72)</f>
        <v>0</v>
      </c>
      <c r="N72" s="308"/>
      <c r="O72" s="309">
        <f aca="true" t="shared" si="26" ref="O72:O77">LEN(C72)</f>
        <v>0</v>
      </c>
      <c r="P72" s="309">
        <f aca="true" t="shared" si="27" ref="P72:P77">IF((O72)=0,0,FIND(" ",C72))</f>
        <v>0</v>
      </c>
      <c r="Q72" s="309">
        <f aca="true" t="shared" si="28" ref="Q72:Q77">IF(OR(ISERR(P72),O72=0),"",CONCATENATE(MID(C72,P72+1,1),"."))</f>
      </c>
      <c r="R72" s="309">
        <f aca="true" t="shared" si="29" ref="R72:R77">IF(LEN(C72)=0,0,FIND(" ",C72,P72+1))</f>
        <v>0</v>
      </c>
      <c r="S72" s="309">
        <f aca="true" t="shared" si="30" ref="S72:S77">IF(OR(O72=0,ISERR(R72)),"",CONCATENATE(MID(C72,R72+1,1),"."))</f>
      </c>
      <c r="T72" s="309">
        <f aca="true" t="shared" si="31" ref="T72:T77">IF(C72="","",IF(ISERR(P72),UPPER(C72),UPPER(MID(C72,1,P72-1))))</f>
      </c>
      <c r="U72" s="309">
        <f aca="true" t="shared" si="32" ref="U72:U77">CONCATENATE(Q72,S72)</f>
      </c>
    </row>
    <row r="73" spans="1:21" s="61" customFormat="1" ht="12.75">
      <c r="A73" s="213">
        <f t="shared" si="22"/>
        <v>66</v>
      </c>
      <c r="B73" s="528"/>
      <c r="C73" s="532"/>
      <c r="D73" s="220"/>
      <c r="E73" s="529"/>
      <c r="F73" s="220"/>
      <c r="G73" s="220"/>
      <c r="H73" s="530"/>
      <c r="I73" s="531"/>
      <c r="J73" s="511"/>
      <c r="K73" s="306">
        <f t="shared" si="23"/>
        <v>2</v>
      </c>
      <c r="L73" s="307">
        <f t="shared" si="24"/>
        <v>0</v>
      </c>
      <c r="M73" s="307">
        <f t="shared" si="25"/>
        <v>0</v>
      </c>
      <c r="N73" s="308"/>
      <c r="O73" s="309">
        <f t="shared" si="26"/>
        <v>0</v>
      </c>
      <c r="P73" s="309">
        <f t="shared" si="27"/>
        <v>0</v>
      </c>
      <c r="Q73" s="309">
        <f t="shared" si="28"/>
      </c>
      <c r="R73" s="309">
        <f t="shared" si="29"/>
        <v>0</v>
      </c>
      <c r="S73" s="309">
        <f t="shared" si="30"/>
      </c>
      <c r="T73" s="309">
        <f t="shared" si="31"/>
      </c>
      <c r="U73" s="309">
        <f t="shared" si="32"/>
      </c>
    </row>
    <row r="74" spans="1:21" s="61" customFormat="1" ht="12.75">
      <c r="A74" s="213">
        <f t="shared" si="22"/>
        <v>67</v>
      </c>
      <c r="B74" s="528"/>
      <c r="C74" s="532"/>
      <c r="D74" s="220"/>
      <c r="E74" s="529"/>
      <c r="F74" s="220"/>
      <c r="G74" s="220"/>
      <c r="H74" s="530"/>
      <c r="I74" s="531"/>
      <c r="J74" s="511"/>
      <c r="K74" s="306">
        <f t="shared" si="23"/>
        <v>2</v>
      </c>
      <c r="L74" s="307">
        <f t="shared" si="24"/>
        <v>0</v>
      </c>
      <c r="M74" s="307">
        <f t="shared" si="25"/>
        <v>0</v>
      </c>
      <c r="N74" s="308"/>
      <c r="O74" s="309">
        <f t="shared" si="26"/>
        <v>0</v>
      </c>
      <c r="P74" s="309">
        <f t="shared" si="27"/>
        <v>0</v>
      </c>
      <c r="Q74" s="309">
        <f t="shared" si="28"/>
      </c>
      <c r="R74" s="309">
        <f t="shared" si="29"/>
        <v>0</v>
      </c>
      <c r="S74" s="309">
        <f t="shared" si="30"/>
      </c>
      <c r="T74" s="309">
        <f t="shared" si="31"/>
      </c>
      <c r="U74" s="309">
        <f t="shared" si="32"/>
      </c>
    </row>
    <row r="75" spans="1:21" s="61" customFormat="1" ht="12.75">
      <c r="A75" s="213">
        <f t="shared" si="22"/>
        <v>68</v>
      </c>
      <c r="B75" s="528"/>
      <c r="C75" s="532"/>
      <c r="D75" s="220"/>
      <c r="E75" s="529"/>
      <c r="F75" s="220"/>
      <c r="G75" s="220"/>
      <c r="H75" s="530"/>
      <c r="I75" s="531"/>
      <c r="J75" s="511"/>
      <c r="K75" s="306">
        <f t="shared" si="23"/>
        <v>2</v>
      </c>
      <c r="L75" s="307">
        <f t="shared" si="24"/>
        <v>0</v>
      </c>
      <c r="M75" s="307">
        <f t="shared" si="25"/>
        <v>0</v>
      </c>
      <c r="N75" s="308"/>
      <c r="O75" s="309">
        <f t="shared" si="26"/>
        <v>0</v>
      </c>
      <c r="P75" s="309">
        <f t="shared" si="27"/>
        <v>0</v>
      </c>
      <c r="Q75" s="309">
        <f t="shared" si="28"/>
      </c>
      <c r="R75" s="309">
        <f t="shared" si="29"/>
        <v>0</v>
      </c>
      <c r="S75" s="309">
        <f t="shared" si="30"/>
      </c>
      <c r="T75" s="309">
        <f t="shared" si="31"/>
      </c>
      <c r="U75" s="309">
        <f t="shared" si="32"/>
      </c>
    </row>
    <row r="76" spans="1:21" s="61" customFormat="1" ht="12.75">
      <c r="A76" s="213">
        <f t="shared" si="22"/>
        <v>69</v>
      </c>
      <c r="B76" s="528"/>
      <c r="C76" s="532"/>
      <c r="D76" s="220"/>
      <c r="E76" s="529"/>
      <c r="F76" s="220"/>
      <c r="G76" s="220"/>
      <c r="H76" s="530"/>
      <c r="I76" s="531"/>
      <c r="J76" s="511"/>
      <c r="K76" s="306">
        <f t="shared" si="23"/>
        <v>2</v>
      </c>
      <c r="L76" s="307">
        <f t="shared" si="24"/>
        <v>0</v>
      </c>
      <c r="M76" s="307">
        <f t="shared" si="25"/>
        <v>0</v>
      </c>
      <c r="N76" s="308"/>
      <c r="O76" s="309">
        <f t="shared" si="26"/>
        <v>0</v>
      </c>
      <c r="P76" s="309">
        <f t="shared" si="27"/>
        <v>0</v>
      </c>
      <c r="Q76" s="309">
        <f t="shared" si="28"/>
      </c>
      <c r="R76" s="309">
        <f t="shared" si="29"/>
        <v>0</v>
      </c>
      <c r="S76" s="309">
        <f t="shared" si="30"/>
      </c>
      <c r="T76" s="309">
        <f t="shared" si="31"/>
      </c>
      <c r="U76" s="309">
        <f t="shared" si="32"/>
      </c>
    </row>
    <row r="77" spans="1:21" s="61" customFormat="1" ht="12.75">
      <c r="A77" s="213">
        <f t="shared" si="22"/>
        <v>70</v>
      </c>
      <c r="B77" s="528"/>
      <c r="C77" s="532"/>
      <c r="D77" s="220"/>
      <c r="E77" s="529"/>
      <c r="F77" s="220"/>
      <c r="G77" s="220"/>
      <c r="H77" s="530"/>
      <c r="I77" s="531"/>
      <c r="J77" s="512"/>
      <c r="K77" s="306">
        <f t="shared" si="23"/>
        <v>2</v>
      </c>
      <c r="L77" s="307">
        <f t="shared" si="24"/>
        <v>0</v>
      </c>
      <c r="M77" s="307">
        <f t="shared" si="25"/>
        <v>0</v>
      </c>
      <c r="N77" s="308"/>
      <c r="O77" s="309">
        <f t="shared" si="26"/>
        <v>0</v>
      </c>
      <c r="P77" s="309">
        <f t="shared" si="27"/>
        <v>0</v>
      </c>
      <c r="Q77" s="309">
        <f t="shared" si="28"/>
      </c>
      <c r="R77" s="309">
        <f t="shared" si="29"/>
        <v>0</v>
      </c>
      <c r="S77" s="309">
        <f t="shared" si="30"/>
      </c>
      <c r="T77" s="309">
        <f t="shared" si="31"/>
      </c>
      <c r="U77" s="309">
        <f t="shared" si="32"/>
      </c>
    </row>
    <row r="78" spans="1:21" s="494" customFormat="1" ht="12.75">
      <c r="A78" s="485"/>
      <c r="B78" s="486"/>
      <c r="C78" s="487"/>
      <c r="D78" s="488"/>
      <c r="E78" s="489"/>
      <c r="F78" s="488"/>
      <c r="G78" s="488"/>
      <c r="H78" s="490"/>
      <c r="I78" s="495"/>
      <c r="J78" s="495"/>
      <c r="K78" s="491"/>
      <c r="L78" s="492"/>
      <c r="M78" s="492"/>
      <c r="N78" s="491"/>
      <c r="O78" s="493"/>
      <c r="P78" s="493"/>
      <c r="Q78" s="493"/>
      <c r="R78" s="493"/>
      <c r="S78" s="493"/>
      <c r="T78" s="493"/>
      <c r="U78" s="493"/>
    </row>
    <row r="79" spans="1:21" s="494" customFormat="1" ht="12.75">
      <c r="A79" s="485"/>
      <c r="B79" s="486"/>
      <c r="C79" s="487"/>
      <c r="D79" s="488"/>
      <c r="E79" s="489"/>
      <c r="F79" s="488"/>
      <c r="G79" s="495"/>
      <c r="H79" s="490"/>
      <c r="I79" s="495"/>
      <c r="J79" s="495"/>
      <c r="K79" s="491"/>
      <c r="L79" s="492"/>
      <c r="M79" s="492"/>
      <c r="N79" s="491"/>
      <c r="O79" s="493"/>
      <c r="P79" s="493"/>
      <c r="Q79" s="493"/>
      <c r="R79" s="493"/>
      <c r="S79" s="493"/>
      <c r="T79" s="493"/>
      <c r="U79" s="493"/>
    </row>
    <row r="80" spans="1:21" s="494" customFormat="1" ht="12.75">
      <c r="A80" s="485"/>
      <c r="B80" s="486"/>
      <c r="C80" s="487"/>
      <c r="D80" s="488"/>
      <c r="E80" s="489"/>
      <c r="F80" s="488"/>
      <c r="G80" s="495"/>
      <c r="H80" s="490"/>
      <c r="I80" s="495"/>
      <c r="J80" s="495"/>
      <c r="K80" s="491"/>
      <c r="L80" s="492"/>
      <c r="M80" s="492"/>
      <c r="N80" s="491"/>
      <c r="O80" s="493"/>
      <c r="P80" s="493"/>
      <c r="Q80" s="493"/>
      <c r="R80" s="493"/>
      <c r="S80" s="493"/>
      <c r="T80" s="493"/>
      <c r="U80" s="493"/>
    </row>
    <row r="81" spans="1:21" s="494" customFormat="1" ht="12.75">
      <c r="A81" s="485"/>
      <c r="B81" s="486"/>
      <c r="C81" s="487"/>
      <c r="D81" s="488"/>
      <c r="E81" s="489"/>
      <c r="F81" s="488"/>
      <c r="G81" s="495"/>
      <c r="H81" s="490"/>
      <c r="I81" s="495"/>
      <c r="J81" s="495"/>
      <c r="K81" s="491"/>
      <c r="L81" s="492"/>
      <c r="M81" s="492"/>
      <c r="N81" s="491"/>
      <c r="O81" s="493"/>
      <c r="P81" s="493"/>
      <c r="Q81" s="493"/>
      <c r="R81" s="493"/>
      <c r="S81" s="493"/>
      <c r="T81" s="493"/>
      <c r="U81" s="493"/>
    </row>
    <row r="82" spans="1:21" s="494" customFormat="1" ht="12.75">
      <c r="A82" s="485"/>
      <c r="B82" s="486"/>
      <c r="C82" s="487"/>
      <c r="D82" s="488"/>
      <c r="E82" s="489"/>
      <c r="F82" s="488"/>
      <c r="G82" s="488"/>
      <c r="H82" s="490"/>
      <c r="I82" s="495"/>
      <c r="J82" s="495"/>
      <c r="K82" s="491"/>
      <c r="L82" s="492"/>
      <c r="M82" s="492"/>
      <c r="N82" s="491"/>
      <c r="O82" s="493"/>
      <c r="P82" s="493"/>
      <c r="Q82" s="493"/>
      <c r="R82" s="493"/>
      <c r="S82" s="493"/>
      <c r="T82" s="493"/>
      <c r="U82" s="493"/>
    </row>
    <row r="83" spans="1:21" s="494" customFormat="1" ht="12.75">
      <c r="A83" s="485"/>
      <c r="B83" s="486"/>
      <c r="C83" s="487"/>
      <c r="D83" s="488"/>
      <c r="E83" s="489"/>
      <c r="F83" s="488"/>
      <c r="G83" s="495"/>
      <c r="H83" s="490"/>
      <c r="I83" s="495"/>
      <c r="J83" s="495"/>
      <c r="K83" s="491"/>
      <c r="L83" s="492"/>
      <c r="M83" s="492"/>
      <c r="N83" s="491"/>
      <c r="O83" s="493"/>
      <c r="P83" s="493"/>
      <c r="Q83" s="493"/>
      <c r="R83" s="493"/>
      <c r="S83" s="493"/>
      <c r="T83" s="493"/>
      <c r="U83" s="493"/>
    </row>
    <row r="84" spans="1:21" s="494" customFormat="1" ht="12.75">
      <c r="A84" s="485"/>
      <c r="B84" s="486"/>
      <c r="C84" s="487"/>
      <c r="D84" s="488"/>
      <c r="E84" s="489"/>
      <c r="F84" s="488"/>
      <c r="G84" s="488"/>
      <c r="H84" s="490"/>
      <c r="I84" s="495"/>
      <c r="J84" s="495"/>
      <c r="K84" s="491"/>
      <c r="L84" s="492"/>
      <c r="M84" s="492"/>
      <c r="N84" s="491"/>
      <c r="O84" s="493"/>
      <c r="P84" s="493"/>
      <c r="Q84" s="493"/>
      <c r="R84" s="493"/>
      <c r="S84" s="493"/>
      <c r="T84" s="493"/>
      <c r="U84" s="493"/>
    </row>
    <row r="85" spans="1:21" s="494" customFormat="1" ht="12.75">
      <c r="A85" s="485"/>
      <c r="B85" s="486"/>
      <c r="C85" s="487"/>
      <c r="D85" s="488"/>
      <c r="E85" s="489"/>
      <c r="F85" s="488"/>
      <c r="G85" s="495"/>
      <c r="H85" s="490"/>
      <c r="I85" s="495"/>
      <c r="J85" s="495"/>
      <c r="K85" s="491"/>
      <c r="L85" s="492"/>
      <c r="M85" s="492"/>
      <c r="N85" s="491"/>
      <c r="O85" s="493"/>
      <c r="P85" s="493"/>
      <c r="Q85" s="493"/>
      <c r="R85" s="493"/>
      <c r="S85" s="493"/>
      <c r="T85" s="493"/>
      <c r="U85" s="493"/>
    </row>
    <row r="86" spans="1:21" s="494" customFormat="1" ht="12.75">
      <c r="A86" s="485"/>
      <c r="B86" s="486"/>
      <c r="C86" s="487"/>
      <c r="D86" s="488"/>
      <c r="E86" s="489"/>
      <c r="F86" s="488"/>
      <c r="G86" s="495"/>
      <c r="H86" s="490"/>
      <c r="I86" s="495"/>
      <c r="J86" s="495"/>
      <c r="K86" s="491"/>
      <c r="L86" s="492"/>
      <c r="M86" s="492"/>
      <c r="N86" s="491"/>
      <c r="O86" s="493"/>
      <c r="P86" s="493"/>
      <c r="Q86" s="493"/>
      <c r="R86" s="493"/>
      <c r="S86" s="493"/>
      <c r="T86" s="493"/>
      <c r="U86" s="493"/>
    </row>
    <row r="87" spans="1:21" s="494" customFormat="1" ht="12.75">
      <c r="A87" s="485"/>
      <c r="B87" s="486"/>
      <c r="C87" s="487"/>
      <c r="D87" s="488"/>
      <c r="E87" s="489"/>
      <c r="F87" s="488"/>
      <c r="G87" s="495"/>
      <c r="H87" s="490"/>
      <c r="I87" s="495"/>
      <c r="J87" s="495"/>
      <c r="K87" s="491"/>
      <c r="L87" s="492"/>
      <c r="M87" s="492"/>
      <c r="N87" s="491"/>
      <c r="O87" s="493"/>
      <c r="P87" s="493"/>
      <c r="Q87" s="493"/>
      <c r="R87" s="493"/>
      <c r="S87" s="493"/>
      <c r="T87" s="493"/>
      <c r="U87" s="493"/>
    </row>
    <row r="88" spans="1:21" s="494" customFormat="1" ht="12.75">
      <c r="A88" s="485"/>
      <c r="B88" s="486"/>
      <c r="C88" s="487"/>
      <c r="D88" s="488"/>
      <c r="E88" s="489"/>
      <c r="F88" s="488"/>
      <c r="G88" s="495"/>
      <c r="H88" s="490"/>
      <c r="I88" s="495"/>
      <c r="J88" s="495"/>
      <c r="K88" s="491"/>
      <c r="L88" s="492"/>
      <c r="M88" s="492"/>
      <c r="N88" s="491"/>
      <c r="O88" s="493"/>
      <c r="P88" s="493"/>
      <c r="Q88" s="493"/>
      <c r="R88" s="493"/>
      <c r="S88" s="493"/>
      <c r="T88" s="493"/>
      <c r="U88" s="493"/>
    </row>
    <row r="89" spans="1:21" s="494" customFormat="1" ht="12.75">
      <c r="A89" s="485"/>
      <c r="B89" s="486"/>
      <c r="C89" s="487"/>
      <c r="D89" s="488"/>
      <c r="E89" s="489"/>
      <c r="F89" s="488"/>
      <c r="G89" s="488"/>
      <c r="H89" s="490"/>
      <c r="I89" s="495"/>
      <c r="J89" s="495"/>
      <c r="K89" s="491"/>
      <c r="L89" s="492"/>
      <c r="M89" s="492"/>
      <c r="N89" s="491"/>
      <c r="O89" s="493"/>
      <c r="P89" s="493"/>
      <c r="Q89" s="493"/>
      <c r="R89" s="493"/>
      <c r="S89" s="493"/>
      <c r="T89" s="493"/>
      <c r="U89" s="493"/>
    </row>
    <row r="90" spans="1:21" s="494" customFormat="1" ht="12.75">
      <c r="A90" s="485"/>
      <c r="B90" s="486"/>
      <c r="C90" s="487"/>
      <c r="D90" s="488"/>
      <c r="E90" s="489"/>
      <c r="F90" s="488"/>
      <c r="G90" s="495"/>
      <c r="H90" s="490"/>
      <c r="I90" s="495"/>
      <c r="J90" s="495"/>
      <c r="K90" s="491"/>
      <c r="L90" s="492"/>
      <c r="M90" s="492"/>
      <c r="N90" s="491"/>
      <c r="O90" s="493"/>
      <c r="P90" s="493"/>
      <c r="Q90" s="493"/>
      <c r="R90" s="493"/>
      <c r="S90" s="493"/>
      <c r="T90" s="493"/>
      <c r="U90" s="493"/>
    </row>
    <row r="91" spans="1:21" s="494" customFormat="1" ht="12.75">
      <c r="A91" s="485"/>
      <c r="B91" s="486"/>
      <c r="C91" s="487"/>
      <c r="D91" s="488"/>
      <c r="E91" s="489"/>
      <c r="F91" s="488"/>
      <c r="G91" s="488"/>
      <c r="H91" s="490"/>
      <c r="I91" s="495"/>
      <c r="J91" s="495"/>
      <c r="K91" s="491"/>
      <c r="L91" s="492"/>
      <c r="M91" s="492"/>
      <c r="N91" s="491"/>
      <c r="O91" s="493"/>
      <c r="P91" s="493"/>
      <c r="Q91" s="493"/>
      <c r="R91" s="493"/>
      <c r="S91" s="493"/>
      <c r="T91" s="493"/>
      <c r="U91" s="493"/>
    </row>
    <row r="92" spans="1:21" s="494" customFormat="1" ht="12.75">
      <c r="A92" s="485"/>
      <c r="B92" s="486"/>
      <c r="C92" s="487"/>
      <c r="D92" s="488"/>
      <c r="E92" s="489"/>
      <c r="F92" s="488"/>
      <c r="G92" s="495"/>
      <c r="H92" s="490"/>
      <c r="I92" s="495"/>
      <c r="J92" s="495"/>
      <c r="K92" s="491"/>
      <c r="L92" s="492"/>
      <c r="M92" s="492"/>
      <c r="N92" s="491"/>
      <c r="O92" s="493"/>
      <c r="P92" s="493"/>
      <c r="Q92" s="493"/>
      <c r="R92" s="493"/>
      <c r="S92" s="493"/>
      <c r="T92" s="493"/>
      <c r="U92" s="493"/>
    </row>
    <row r="93" spans="1:21" s="494" customFormat="1" ht="12.75">
      <c r="A93" s="485"/>
      <c r="B93" s="486"/>
      <c r="C93" s="487"/>
      <c r="D93" s="488"/>
      <c r="E93" s="489"/>
      <c r="F93" s="488"/>
      <c r="G93" s="488"/>
      <c r="H93" s="490"/>
      <c r="I93" s="495"/>
      <c r="J93" s="495"/>
      <c r="K93" s="491"/>
      <c r="L93" s="492"/>
      <c r="M93" s="492"/>
      <c r="N93" s="491"/>
      <c r="O93" s="493"/>
      <c r="P93" s="493"/>
      <c r="Q93" s="493"/>
      <c r="R93" s="493"/>
      <c r="S93" s="493"/>
      <c r="T93" s="493"/>
      <c r="U93" s="493"/>
    </row>
    <row r="94" spans="1:21" s="494" customFormat="1" ht="12.75">
      <c r="A94" s="485"/>
      <c r="B94" s="486"/>
      <c r="C94" s="487"/>
      <c r="D94" s="488"/>
      <c r="E94" s="489"/>
      <c r="F94" s="488"/>
      <c r="G94" s="488"/>
      <c r="H94" s="490"/>
      <c r="I94" s="495"/>
      <c r="J94" s="495"/>
      <c r="K94" s="491"/>
      <c r="L94" s="492"/>
      <c r="M94" s="492"/>
      <c r="N94" s="491"/>
      <c r="O94" s="493"/>
      <c r="P94" s="493"/>
      <c r="Q94" s="493"/>
      <c r="R94" s="493"/>
      <c r="S94" s="493"/>
      <c r="T94" s="493"/>
      <c r="U94" s="493"/>
    </row>
    <row r="95" spans="1:21" s="494" customFormat="1" ht="12.75">
      <c r="A95" s="485"/>
      <c r="B95" s="486"/>
      <c r="C95" s="487"/>
      <c r="D95" s="488"/>
      <c r="E95" s="489"/>
      <c r="F95" s="488"/>
      <c r="G95" s="495"/>
      <c r="H95" s="490"/>
      <c r="I95" s="495"/>
      <c r="J95" s="495"/>
      <c r="K95" s="491"/>
      <c r="L95" s="492"/>
      <c r="M95" s="492"/>
      <c r="N95" s="491"/>
      <c r="O95" s="493"/>
      <c r="P95" s="493"/>
      <c r="Q95" s="493"/>
      <c r="R95" s="493"/>
      <c r="S95" s="493"/>
      <c r="T95" s="493"/>
      <c r="U95" s="493"/>
    </row>
    <row r="96" spans="1:21" s="494" customFormat="1" ht="12.75">
      <c r="A96" s="485"/>
      <c r="B96" s="486"/>
      <c r="C96" s="487"/>
      <c r="D96" s="488"/>
      <c r="E96" s="489"/>
      <c r="F96" s="488"/>
      <c r="G96" s="495"/>
      <c r="H96" s="490"/>
      <c r="I96" s="495"/>
      <c r="J96" s="495"/>
      <c r="K96" s="491"/>
      <c r="L96" s="492"/>
      <c r="M96" s="492"/>
      <c r="N96" s="491"/>
      <c r="O96" s="493"/>
      <c r="P96" s="493"/>
      <c r="Q96" s="493"/>
      <c r="R96" s="493"/>
      <c r="S96" s="493"/>
      <c r="T96" s="493"/>
      <c r="U96" s="493"/>
    </row>
    <row r="97" spans="1:21" s="494" customFormat="1" ht="12.75">
      <c r="A97" s="485"/>
      <c r="B97" s="486"/>
      <c r="C97" s="487"/>
      <c r="D97" s="488"/>
      <c r="E97" s="489"/>
      <c r="F97" s="488"/>
      <c r="G97" s="495"/>
      <c r="H97" s="490"/>
      <c r="I97" s="495"/>
      <c r="J97" s="495"/>
      <c r="K97" s="491"/>
      <c r="L97" s="492"/>
      <c r="M97" s="492"/>
      <c r="N97" s="491"/>
      <c r="O97" s="493"/>
      <c r="P97" s="493"/>
      <c r="Q97" s="493"/>
      <c r="R97" s="493"/>
      <c r="S97" s="493"/>
      <c r="T97" s="493"/>
      <c r="U97" s="493"/>
    </row>
    <row r="98" spans="1:21" s="494" customFormat="1" ht="12.75">
      <c r="A98" s="485"/>
      <c r="B98" s="486"/>
      <c r="C98" s="487"/>
      <c r="D98" s="488"/>
      <c r="E98" s="496"/>
      <c r="F98" s="488"/>
      <c r="G98" s="495"/>
      <c r="H98" s="490"/>
      <c r="I98" s="495"/>
      <c r="J98" s="495"/>
      <c r="K98" s="491"/>
      <c r="L98" s="492"/>
      <c r="M98" s="492"/>
      <c r="N98" s="491"/>
      <c r="O98" s="493"/>
      <c r="P98" s="493"/>
      <c r="Q98" s="493"/>
      <c r="R98" s="493"/>
      <c r="S98" s="493"/>
      <c r="T98" s="493"/>
      <c r="U98" s="493"/>
    </row>
    <row r="99" spans="1:21" s="494" customFormat="1" ht="12.75">
      <c r="A99" s="485"/>
      <c r="B99" s="486"/>
      <c r="C99" s="487"/>
      <c r="D99" s="488"/>
      <c r="E99" s="496"/>
      <c r="F99" s="488"/>
      <c r="G99" s="495"/>
      <c r="H99" s="490"/>
      <c r="I99" s="495"/>
      <c r="J99" s="495"/>
      <c r="K99" s="491"/>
      <c r="L99" s="492"/>
      <c r="M99" s="492"/>
      <c r="N99" s="491"/>
      <c r="O99" s="493"/>
      <c r="P99" s="493"/>
      <c r="Q99" s="493"/>
      <c r="R99" s="493"/>
      <c r="S99" s="493"/>
      <c r="T99" s="493"/>
      <c r="U99" s="493"/>
    </row>
    <row r="100" spans="1:21" s="494" customFormat="1" ht="12.75">
      <c r="A100" s="485"/>
      <c r="B100" s="486"/>
      <c r="C100" s="487"/>
      <c r="D100" s="488"/>
      <c r="E100" s="496"/>
      <c r="F100" s="488"/>
      <c r="G100" s="495"/>
      <c r="H100" s="490"/>
      <c r="I100" s="495"/>
      <c r="J100" s="495"/>
      <c r="K100" s="491"/>
      <c r="L100" s="492"/>
      <c r="M100" s="492"/>
      <c r="N100" s="491"/>
      <c r="O100" s="493"/>
      <c r="P100" s="493"/>
      <c r="Q100" s="493"/>
      <c r="R100" s="493"/>
      <c r="S100" s="493"/>
      <c r="T100" s="493"/>
      <c r="U100" s="493"/>
    </row>
    <row r="101" spans="1:21" s="494" customFormat="1" ht="12.75">
      <c r="A101" s="485"/>
      <c r="B101" s="486"/>
      <c r="C101" s="487"/>
      <c r="D101" s="488"/>
      <c r="E101" s="496"/>
      <c r="F101" s="488"/>
      <c r="G101" s="495"/>
      <c r="H101" s="490"/>
      <c r="I101" s="495"/>
      <c r="J101" s="495"/>
      <c r="K101" s="491"/>
      <c r="L101" s="492"/>
      <c r="M101" s="492"/>
      <c r="N101" s="491"/>
      <c r="O101" s="493"/>
      <c r="P101" s="493"/>
      <c r="Q101" s="493"/>
      <c r="R101" s="493"/>
      <c r="S101" s="493"/>
      <c r="T101" s="493"/>
      <c r="U101" s="493"/>
    </row>
    <row r="102" spans="1:21" s="494" customFormat="1" ht="12.75">
      <c r="A102" s="485"/>
      <c r="B102" s="486"/>
      <c r="C102" s="487"/>
      <c r="D102" s="488"/>
      <c r="E102" s="496"/>
      <c r="F102" s="488"/>
      <c r="G102" s="495"/>
      <c r="H102" s="490"/>
      <c r="I102" s="495"/>
      <c r="J102" s="495"/>
      <c r="K102" s="491"/>
      <c r="L102" s="492"/>
      <c r="M102" s="492"/>
      <c r="N102" s="491"/>
      <c r="O102" s="493"/>
      <c r="P102" s="493"/>
      <c r="Q102" s="493"/>
      <c r="R102" s="493"/>
      <c r="S102" s="493"/>
      <c r="T102" s="493"/>
      <c r="U102" s="493"/>
    </row>
    <row r="103" spans="1:21" s="494" customFormat="1" ht="12.75">
      <c r="A103" s="485"/>
      <c r="B103" s="486"/>
      <c r="C103" s="487"/>
      <c r="D103" s="488"/>
      <c r="E103" s="496"/>
      <c r="F103" s="488"/>
      <c r="G103" s="495"/>
      <c r="H103" s="490"/>
      <c r="I103" s="495"/>
      <c r="J103" s="495"/>
      <c r="K103" s="491"/>
      <c r="L103" s="492"/>
      <c r="M103" s="492"/>
      <c r="N103" s="491"/>
      <c r="O103" s="493"/>
      <c r="P103" s="493"/>
      <c r="Q103" s="493"/>
      <c r="R103" s="493"/>
      <c r="S103" s="493"/>
      <c r="T103" s="493"/>
      <c r="U103" s="493"/>
    </row>
    <row r="104" spans="1:21" s="494" customFormat="1" ht="12.75">
      <c r="A104" s="485"/>
      <c r="B104" s="486"/>
      <c r="C104" s="487"/>
      <c r="D104" s="488"/>
      <c r="E104" s="496"/>
      <c r="F104" s="488"/>
      <c r="G104" s="495"/>
      <c r="H104" s="490"/>
      <c r="I104" s="495"/>
      <c r="J104" s="495"/>
      <c r="K104" s="491"/>
      <c r="L104" s="492"/>
      <c r="M104" s="492"/>
      <c r="N104" s="491"/>
      <c r="O104" s="493"/>
      <c r="P104" s="493"/>
      <c r="Q104" s="493"/>
      <c r="R104" s="493"/>
      <c r="S104" s="493"/>
      <c r="T104" s="493"/>
      <c r="U104" s="493"/>
    </row>
    <row r="105" spans="1:21" s="494" customFormat="1" ht="12.75">
      <c r="A105" s="485"/>
      <c r="B105" s="486"/>
      <c r="C105" s="487"/>
      <c r="D105" s="488"/>
      <c r="E105" s="496"/>
      <c r="F105" s="488"/>
      <c r="G105" s="495"/>
      <c r="H105" s="490"/>
      <c r="I105" s="495"/>
      <c r="J105" s="495"/>
      <c r="K105" s="491"/>
      <c r="L105" s="492"/>
      <c r="M105" s="492"/>
      <c r="N105" s="491"/>
      <c r="O105" s="493"/>
      <c r="P105" s="493"/>
      <c r="Q105" s="493"/>
      <c r="R105" s="493"/>
      <c r="S105" s="493"/>
      <c r="T105" s="493"/>
      <c r="U105" s="493"/>
    </row>
    <row r="106" spans="1:21" s="494" customFormat="1" ht="12.75">
      <c r="A106" s="485"/>
      <c r="B106" s="486"/>
      <c r="C106" s="497"/>
      <c r="D106" s="498"/>
      <c r="E106" s="496"/>
      <c r="F106" s="498"/>
      <c r="G106" s="498"/>
      <c r="H106" s="490"/>
      <c r="I106" s="495"/>
      <c r="J106" s="495"/>
      <c r="K106" s="491"/>
      <c r="L106" s="492"/>
      <c r="M106" s="492"/>
      <c r="N106" s="491"/>
      <c r="O106" s="493"/>
      <c r="P106" s="493"/>
      <c r="Q106" s="493"/>
      <c r="R106" s="493"/>
      <c r="S106" s="493"/>
      <c r="T106" s="493"/>
      <c r="U106" s="493"/>
    </row>
    <row r="107" spans="1:21" s="494" customFormat="1" ht="12.75">
      <c r="A107" s="485"/>
      <c r="B107" s="486"/>
      <c r="C107" s="497"/>
      <c r="D107" s="498"/>
      <c r="E107" s="496"/>
      <c r="F107" s="498"/>
      <c r="G107" s="498"/>
      <c r="H107" s="490"/>
      <c r="I107" s="495"/>
      <c r="J107" s="495"/>
      <c r="K107" s="499"/>
      <c r="L107" s="492"/>
      <c r="M107" s="492"/>
      <c r="N107" s="499"/>
      <c r="O107" s="499"/>
      <c r="P107" s="499"/>
      <c r="Q107" s="499"/>
      <c r="R107" s="499"/>
      <c r="S107" s="499"/>
      <c r="T107" s="499"/>
      <c r="U107" s="499"/>
    </row>
    <row r="108" spans="1:21" s="61" customFormat="1" ht="15">
      <c r="A108" s="4"/>
      <c r="B108" s="19"/>
      <c r="C108" s="64"/>
      <c r="D108" s="19"/>
      <c r="E108" s="19"/>
      <c r="F108" s="5"/>
      <c r="G108" s="5"/>
      <c r="H108" s="65"/>
      <c r="I108" s="65"/>
      <c r="J108" s="65"/>
      <c r="K108" s="310"/>
      <c r="L108" s="311"/>
      <c r="M108" s="311"/>
      <c r="N108" s="310"/>
      <c r="O108" s="310"/>
      <c r="P108" s="310"/>
      <c r="Q108" s="310"/>
      <c r="R108" s="310"/>
      <c r="S108" s="310"/>
      <c r="T108" s="310"/>
      <c r="U108" s="310"/>
    </row>
    <row r="109" spans="1:7" ht="12.75">
      <c r="A109" s="541"/>
      <c r="B109" s="541"/>
      <c r="C109" s="1"/>
      <c r="D109" s="1"/>
      <c r="E109" s="1"/>
      <c r="F109" s="1"/>
      <c r="G109" s="1"/>
    </row>
    <row r="110" spans="1:7" ht="12.75">
      <c r="A110" s="1"/>
      <c r="B110" s="1"/>
      <c r="C110" s="1"/>
      <c r="D110" s="1"/>
      <c r="E110" s="1"/>
      <c r="F110" s="1"/>
      <c r="G110" s="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B117" s="369"/>
      <c r="D117" s="51"/>
      <c r="E117" s="51"/>
    </row>
    <row r="118" spans="1:5" ht="12.75">
      <c r="A118" s="54"/>
      <c r="D118" s="51"/>
      <c r="E118" s="51"/>
    </row>
    <row r="119" spans="1:5" ht="12.75">
      <c r="A119" s="54"/>
      <c r="D119" s="51"/>
      <c r="E119" s="51"/>
    </row>
    <row r="120" spans="1:13" s="249" customFormat="1" ht="12.75" hidden="1">
      <c r="A120" s="376"/>
      <c r="C120" s="249">
        <f>70-COUNTIF(C8:C77,"")</f>
        <v>18</v>
      </c>
      <c r="D120" s="409"/>
      <c r="E120" s="409"/>
      <c r="H120" s="500">
        <f>70-COUNTIF(H8:H77,"")</f>
        <v>0</v>
      </c>
      <c r="L120" s="377"/>
      <c r="M120" s="377"/>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4"/>
      <c r="D127" s="51"/>
      <c r="E127" s="51"/>
    </row>
    <row r="128" spans="1:5" ht="12.75">
      <c r="A128" s="54"/>
      <c r="D128" s="51"/>
      <c r="E128" s="51"/>
    </row>
    <row r="129" spans="1:5" ht="12.75">
      <c r="A129" s="54"/>
      <c r="D129" s="51"/>
      <c r="E129" s="51"/>
    </row>
    <row r="130" spans="1:5" ht="12.75">
      <c r="A130" s="54"/>
      <c r="D130" s="51"/>
      <c r="E130" s="51"/>
    </row>
    <row r="131" spans="1:5" ht="12.75">
      <c r="A131" s="54"/>
      <c r="D131" s="51"/>
      <c r="E131" s="51"/>
    </row>
    <row r="132" spans="1:5" ht="12.75">
      <c r="A132" s="54"/>
      <c r="D132" s="51"/>
      <c r="E132" s="51"/>
    </row>
    <row r="133" spans="1:5" ht="12.75">
      <c r="A133" s="54"/>
      <c r="D133" s="51"/>
      <c r="E133" s="51"/>
    </row>
    <row r="134" spans="1:5" ht="12.75">
      <c r="A134" s="54"/>
      <c r="D134" s="51"/>
      <c r="E134" s="51"/>
    </row>
    <row r="135" spans="1:5" ht="12.75">
      <c r="A135" s="54"/>
      <c r="D135" s="51"/>
      <c r="E135" s="51"/>
    </row>
    <row r="136" spans="1:5" ht="12.75">
      <c r="A136" s="54"/>
      <c r="D136" s="51"/>
      <c r="E136" s="51"/>
    </row>
    <row r="137" spans="1:5" ht="12.75">
      <c r="A137" s="54"/>
      <c r="D137" s="51"/>
      <c r="E137" s="51"/>
    </row>
    <row r="138" spans="1:5" ht="12.75">
      <c r="A138" s="54"/>
      <c r="D138" s="51"/>
      <c r="E138" s="51"/>
    </row>
    <row r="139" spans="1:5" ht="12.75">
      <c r="A139" s="54"/>
      <c r="D139" s="51"/>
      <c r="E139" s="51"/>
    </row>
    <row r="140" spans="1:5" ht="12.75">
      <c r="A140" s="54"/>
      <c r="D140" s="51"/>
      <c r="E140" s="51"/>
    </row>
    <row r="141" spans="1:5" ht="12.75">
      <c r="A141" s="54"/>
      <c r="D141" s="51"/>
      <c r="E141" s="51"/>
    </row>
    <row r="142" spans="1:5" ht="12.75">
      <c r="A142" s="54"/>
      <c r="D142" s="51"/>
      <c r="E142" s="51"/>
    </row>
    <row r="143" spans="1:5" ht="12.75">
      <c r="A143" s="54"/>
      <c r="D143" s="51"/>
      <c r="E143" s="51"/>
    </row>
    <row r="144" spans="1:5" ht="12.75">
      <c r="A144" s="54"/>
      <c r="D144" s="51"/>
      <c r="E144" s="51"/>
    </row>
    <row r="145" spans="1:5" ht="12.75">
      <c r="A145" s="54"/>
      <c r="D145" s="51"/>
      <c r="E145" s="51"/>
    </row>
    <row r="146" spans="1:5" ht="12.75">
      <c r="A146" s="54"/>
      <c r="D146" s="51"/>
      <c r="E146" s="51"/>
    </row>
    <row r="147" spans="1:5" ht="12.75">
      <c r="A147" s="54"/>
      <c r="D147" s="51"/>
      <c r="E147" s="51"/>
    </row>
    <row r="148" spans="1:5" ht="12.75">
      <c r="A148" s="54"/>
      <c r="D148" s="51"/>
      <c r="E148" s="51"/>
    </row>
    <row r="149" spans="1:5" ht="12.75">
      <c r="A149" s="54"/>
      <c r="D149" s="51"/>
      <c r="E149" s="51"/>
    </row>
    <row r="150" spans="1:5" ht="12.75">
      <c r="A150" s="54"/>
      <c r="D150" s="51"/>
      <c r="E150" s="51"/>
    </row>
    <row r="151" spans="1:5" ht="12.75">
      <c r="A151" s="54"/>
      <c r="D151" s="51"/>
      <c r="E151" s="51"/>
    </row>
    <row r="152" spans="1:5" ht="12.75">
      <c r="A152" s="54"/>
      <c r="D152" s="51"/>
      <c r="E152" s="51"/>
    </row>
    <row r="153" spans="1:5" ht="12.75">
      <c r="A153" s="54"/>
      <c r="D153" s="51"/>
      <c r="E153" s="51"/>
    </row>
    <row r="154" spans="1:5" ht="12.75">
      <c r="A154" s="54"/>
      <c r="D154" s="51"/>
      <c r="E154" s="51"/>
    </row>
    <row r="155" spans="1:5" ht="12.75">
      <c r="A155" s="54"/>
      <c r="D155" s="51"/>
      <c r="E155" s="51"/>
    </row>
    <row r="156" spans="1:5" ht="12.75">
      <c r="A156" s="54"/>
      <c r="D156" s="51"/>
      <c r="E156" s="51"/>
    </row>
    <row r="157" spans="1:5" ht="12.75">
      <c r="A157" s="54"/>
      <c r="D157" s="51"/>
      <c r="E157" s="51"/>
    </row>
    <row r="158" spans="1:5" ht="12.75">
      <c r="A158" s="54"/>
      <c r="D158" s="51"/>
      <c r="E158" s="51"/>
    </row>
    <row r="159" spans="1:5" ht="12.75">
      <c r="A159" s="54"/>
      <c r="D159" s="51"/>
      <c r="E159" s="51"/>
    </row>
    <row r="160" spans="1:5" ht="12.75">
      <c r="A160" s="54"/>
      <c r="D160" s="51"/>
      <c r="E160" s="51"/>
    </row>
    <row r="161" spans="1:5" ht="12.75">
      <c r="A161" s="54"/>
      <c r="D161" s="51"/>
      <c r="E161" s="51"/>
    </row>
    <row r="162" spans="1:5" ht="12.75">
      <c r="A162" s="54"/>
      <c r="D162" s="51"/>
      <c r="E162" s="51"/>
    </row>
    <row r="163" spans="1:5" ht="12.75">
      <c r="A163" s="54"/>
      <c r="D163" s="51"/>
      <c r="E163" s="51"/>
    </row>
    <row r="164" spans="1:5" ht="12.75">
      <c r="A164" s="54"/>
      <c r="D164" s="51"/>
      <c r="E164" s="51"/>
    </row>
    <row r="165" spans="1:5" ht="12.75">
      <c r="A165" s="54"/>
      <c r="D165" s="51"/>
      <c r="E165" s="51"/>
    </row>
    <row r="166" spans="1:5" ht="12.75">
      <c r="A166" s="54"/>
      <c r="D166" s="51"/>
      <c r="E166" s="51"/>
    </row>
    <row r="167" spans="1:5" ht="12.75">
      <c r="A167" s="54"/>
      <c r="D167" s="51"/>
      <c r="E167" s="51"/>
    </row>
    <row r="168" spans="1:5" ht="12.75">
      <c r="A168" s="54"/>
      <c r="D168" s="51"/>
      <c r="E168" s="51"/>
    </row>
    <row r="169" spans="1:5" ht="12.75">
      <c r="A169" s="54"/>
      <c r="D169" s="51"/>
      <c r="E169" s="51"/>
    </row>
    <row r="170" spans="1:5" ht="12.75">
      <c r="A170" s="54"/>
      <c r="D170" s="51"/>
      <c r="E170" s="51"/>
    </row>
    <row r="171" spans="1:5" ht="12.75">
      <c r="A171" s="54"/>
      <c r="D171" s="51"/>
      <c r="E171" s="51"/>
    </row>
    <row r="172" spans="1:5" ht="12.75">
      <c r="A172" s="54"/>
      <c r="D172" s="51"/>
      <c r="E172" s="51"/>
    </row>
    <row r="173" spans="1:5" ht="12.75">
      <c r="A173" s="54"/>
      <c r="D173" s="51"/>
      <c r="E173" s="51"/>
    </row>
    <row r="174" spans="1:5" ht="12.75">
      <c r="A174" s="54"/>
      <c r="D174" s="51"/>
      <c r="E174" s="51"/>
    </row>
    <row r="175" spans="1:5" ht="12.75">
      <c r="A175" s="54"/>
      <c r="D175" s="51"/>
      <c r="E175" s="51"/>
    </row>
    <row r="176" spans="1:5" ht="12.75">
      <c r="A176" s="54"/>
      <c r="D176" s="51"/>
      <c r="E176" s="51"/>
    </row>
    <row r="177" spans="1:5" ht="12.75">
      <c r="A177" s="54"/>
      <c r="D177" s="51"/>
      <c r="E177" s="51"/>
    </row>
    <row r="178" spans="1:5" ht="12.75">
      <c r="A178" s="54"/>
      <c r="D178" s="51"/>
      <c r="E178" s="51"/>
    </row>
    <row r="179" spans="1:5" ht="12.75">
      <c r="A179" s="54"/>
      <c r="D179" s="51"/>
      <c r="E179" s="51"/>
    </row>
    <row r="180" spans="1:5" ht="12.75">
      <c r="A180" s="54"/>
      <c r="D180" s="51"/>
      <c r="E180" s="51"/>
    </row>
    <row r="181" spans="1:5" ht="12.75">
      <c r="A181" s="54"/>
      <c r="D181" s="51"/>
      <c r="E181" s="51"/>
    </row>
    <row r="182" spans="1:5" ht="12.75">
      <c r="A182" s="54"/>
      <c r="D182" s="51"/>
      <c r="E182" s="51"/>
    </row>
    <row r="183" spans="1:5" ht="12.75">
      <c r="A183" s="54"/>
      <c r="D183" s="51"/>
      <c r="E183" s="51"/>
    </row>
    <row r="184" spans="1:5" ht="12.75">
      <c r="A184" s="54"/>
      <c r="D184" s="51"/>
      <c r="E184" s="51"/>
    </row>
    <row r="185" spans="1:5" ht="12.75">
      <c r="A185" s="54"/>
      <c r="D185" s="51"/>
      <c r="E185" s="51"/>
    </row>
    <row r="186" spans="1:5" ht="12.75">
      <c r="A186" s="54"/>
      <c r="D186" s="51"/>
      <c r="E186" s="51"/>
    </row>
    <row r="187" spans="1:5" ht="12.75">
      <c r="A187" s="54"/>
      <c r="D187" s="51"/>
      <c r="E187" s="51"/>
    </row>
    <row r="188" spans="1:5" ht="12.75">
      <c r="A188" s="54"/>
      <c r="D188" s="51"/>
      <c r="E188" s="51"/>
    </row>
    <row r="189" spans="1:5" ht="12.75">
      <c r="A189" s="54"/>
      <c r="D189" s="51"/>
      <c r="E189" s="51"/>
    </row>
    <row r="190" spans="1:5" ht="12.75">
      <c r="A190" s="54"/>
      <c r="D190" s="51"/>
      <c r="E190" s="51"/>
    </row>
    <row r="191" spans="1:5" ht="12.75">
      <c r="A191" s="54"/>
      <c r="D191" s="51"/>
      <c r="E191" s="51"/>
    </row>
    <row r="192" spans="1:5" ht="12.75">
      <c r="A192" s="54"/>
      <c r="D192" s="51"/>
      <c r="E192" s="51"/>
    </row>
    <row r="193" spans="1:5" ht="12.75">
      <c r="A193" s="54"/>
      <c r="D193" s="51"/>
      <c r="E193" s="51"/>
    </row>
    <row r="194" spans="1:5" ht="12.75">
      <c r="A194" s="54"/>
      <c r="D194" s="51"/>
      <c r="E194" s="51"/>
    </row>
    <row r="195" spans="1:5" ht="12.75">
      <c r="A195" s="54"/>
      <c r="D195" s="51"/>
      <c r="E195" s="51"/>
    </row>
    <row r="196" spans="1:5" ht="12.75">
      <c r="A196" s="54"/>
      <c r="D196" s="51"/>
      <c r="E196" s="51"/>
    </row>
    <row r="197" spans="1:5" ht="12.75">
      <c r="A197" s="54"/>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row r="239" spans="1:5" ht="12.75">
      <c r="A239" s="51"/>
      <c r="D239" s="51"/>
      <c r="E239" s="51"/>
    </row>
    <row r="240" spans="1:5" ht="12.75">
      <c r="A240" s="51"/>
      <c r="D240" s="51"/>
      <c r="E240" s="51"/>
    </row>
    <row r="241" spans="1:5" ht="12.75">
      <c r="A241" s="51"/>
      <c r="D241" s="51"/>
      <c r="E241" s="51"/>
    </row>
    <row r="242" spans="1:5" ht="12.75">
      <c r="A242" s="51"/>
      <c r="D242" s="51"/>
      <c r="E242" s="51"/>
    </row>
    <row r="243" spans="1:5" ht="12.75">
      <c r="A243" s="51"/>
      <c r="D243" s="51"/>
      <c r="E243" s="51"/>
    </row>
    <row r="244" spans="1:5" ht="12.75">
      <c r="A244" s="51"/>
      <c r="D244" s="51"/>
      <c r="E244" s="51"/>
    </row>
    <row r="245" spans="1:5" ht="12.75">
      <c r="A245" s="51"/>
      <c r="D245" s="51"/>
      <c r="E245" s="51"/>
    </row>
    <row r="246" spans="1:5" ht="12.75">
      <c r="A246" s="51"/>
      <c r="D246" s="51"/>
      <c r="E246" s="51"/>
    </row>
    <row r="247" spans="1:5" ht="12.75">
      <c r="A247" s="51"/>
      <c r="D247" s="51"/>
      <c r="E247" s="51"/>
    </row>
    <row r="248" spans="1:5" ht="12.75">
      <c r="A248" s="51"/>
      <c r="D248" s="51"/>
      <c r="E248" s="51"/>
    </row>
    <row r="249" spans="1:5" ht="12.75">
      <c r="A249" s="51"/>
      <c r="D249" s="51"/>
      <c r="E249" s="51"/>
    </row>
    <row r="250" spans="1:5" ht="12.75">
      <c r="A250" s="51"/>
      <c r="D250" s="51"/>
      <c r="E250" s="51"/>
    </row>
    <row r="251" spans="1:5" ht="12.75">
      <c r="A251" s="51"/>
      <c r="D251" s="51"/>
      <c r="E251" s="51"/>
    </row>
    <row r="252" spans="1:5" ht="12.75">
      <c r="A252" s="51"/>
      <c r="D252" s="51"/>
      <c r="E252" s="51"/>
    </row>
    <row r="253" spans="1:5" ht="12.75">
      <c r="A253" s="51"/>
      <c r="D253" s="51"/>
      <c r="E253" s="51"/>
    </row>
    <row r="254" spans="1:5" ht="12.75">
      <c r="A254" s="51"/>
      <c r="D254" s="51"/>
      <c r="E254" s="51"/>
    </row>
    <row r="255" spans="1:5" ht="12.75">
      <c r="A255" s="51"/>
      <c r="D255" s="51"/>
      <c r="E255" s="51"/>
    </row>
    <row r="256" spans="1:5" ht="12.75">
      <c r="A256" s="51"/>
      <c r="D256" s="51"/>
      <c r="E256" s="51"/>
    </row>
    <row r="257" spans="1:5" ht="12.75">
      <c r="A257" s="51"/>
      <c r="D257" s="51"/>
      <c r="E257" s="51"/>
    </row>
    <row r="258" spans="1:5" ht="12.75">
      <c r="A258" s="51"/>
      <c r="D258" s="51"/>
      <c r="E258" s="51"/>
    </row>
    <row r="259" spans="1:5" ht="12.75">
      <c r="A259" s="51"/>
      <c r="D259" s="51"/>
      <c r="E259" s="51"/>
    </row>
    <row r="260" spans="1:5" ht="12.75">
      <c r="A260" s="51"/>
      <c r="D260" s="51"/>
      <c r="E260" s="51"/>
    </row>
    <row r="261" spans="1:5" ht="12.75">
      <c r="A261" s="51"/>
      <c r="D261" s="51"/>
      <c r="E261" s="51"/>
    </row>
    <row r="262" spans="1:5" ht="12.75">
      <c r="A262" s="51"/>
      <c r="D262" s="51"/>
      <c r="E262" s="51"/>
    </row>
    <row r="263" spans="1:5" ht="12.75">
      <c r="A263" s="51"/>
      <c r="D263" s="51"/>
      <c r="E263" s="51"/>
    </row>
    <row r="264" spans="1:5" ht="12.75">
      <c r="A264" s="51"/>
      <c r="D264" s="51"/>
      <c r="E264" s="51"/>
    </row>
    <row r="265" spans="1:5" ht="12.75">
      <c r="A265" s="51"/>
      <c r="D265" s="51"/>
      <c r="E265" s="51"/>
    </row>
    <row r="266" spans="1:5" ht="12.75">
      <c r="A266" s="51"/>
      <c r="D266" s="51"/>
      <c r="E266" s="51"/>
    </row>
    <row r="267" spans="1:5" ht="12.75">
      <c r="A267" s="51"/>
      <c r="D267" s="51"/>
      <c r="E267" s="51"/>
    </row>
    <row r="268" spans="1:5" ht="12.75">
      <c r="A268" s="51"/>
      <c r="D268" s="51"/>
      <c r="E268" s="51"/>
    </row>
    <row r="269" spans="1:5" ht="12.75">
      <c r="A269" s="51"/>
      <c r="D269" s="51"/>
      <c r="E269" s="51"/>
    </row>
    <row r="270" spans="1:5" ht="12.75">
      <c r="A270" s="51"/>
      <c r="D270" s="51"/>
      <c r="E270" s="51"/>
    </row>
    <row r="271" spans="1:5" ht="12.75">
      <c r="A271" s="51"/>
      <c r="D271" s="51"/>
      <c r="E271" s="51"/>
    </row>
    <row r="272" spans="1:5" ht="12.75">
      <c r="A272" s="51"/>
      <c r="D272" s="51"/>
      <c r="E272" s="51"/>
    </row>
    <row r="273" spans="1:5" ht="12.75">
      <c r="A273" s="51"/>
      <c r="D273" s="51"/>
      <c r="E273" s="51"/>
    </row>
    <row r="274" spans="1:5" ht="12.75">
      <c r="A274" s="51"/>
      <c r="D274" s="51"/>
      <c r="E274" s="51"/>
    </row>
    <row r="275" spans="1:5" ht="12.75">
      <c r="A275" s="51"/>
      <c r="D275" s="51"/>
      <c r="E275" s="51"/>
    </row>
    <row r="276" spans="1:5" ht="12.75">
      <c r="A276" s="51"/>
      <c r="D276" s="51"/>
      <c r="E276" s="51"/>
    </row>
    <row r="277" spans="1:5" ht="12.75">
      <c r="A277" s="51"/>
      <c r="D277" s="51"/>
      <c r="E277" s="51"/>
    </row>
    <row r="278" spans="1:5" ht="12.75">
      <c r="A278" s="51"/>
      <c r="D278" s="51"/>
      <c r="E278" s="51"/>
    </row>
    <row r="279" spans="1:5" ht="12.75">
      <c r="A279" s="51"/>
      <c r="D279" s="51"/>
      <c r="E279" s="51"/>
    </row>
    <row r="280" spans="1:5" ht="12.75">
      <c r="A280" s="51"/>
      <c r="D280" s="51"/>
      <c r="E280" s="51"/>
    </row>
    <row r="281" spans="1:5" ht="12.75">
      <c r="A281" s="51"/>
      <c r="D281" s="51"/>
      <c r="E281" s="51"/>
    </row>
    <row r="282" spans="1:5" ht="12.75">
      <c r="A282" s="51"/>
      <c r="D282" s="51"/>
      <c r="E282" s="51"/>
    </row>
    <row r="283" spans="1:5" ht="12.75">
      <c r="A283" s="51"/>
      <c r="D283" s="51"/>
      <c r="E283" s="51"/>
    </row>
    <row r="284" spans="1:5" ht="12.75">
      <c r="A284" s="51"/>
      <c r="D284" s="51"/>
      <c r="E284" s="51"/>
    </row>
    <row r="285" spans="1:5" ht="12.75">
      <c r="A285" s="51"/>
      <c r="D285" s="51"/>
      <c r="E285" s="51"/>
    </row>
    <row r="286" spans="1:5" ht="12.75">
      <c r="A286" s="51"/>
      <c r="D286" s="51"/>
      <c r="E286" s="51"/>
    </row>
    <row r="287" spans="1:5" ht="12.75">
      <c r="A287" s="51"/>
      <c r="D287" s="51"/>
      <c r="E287" s="51"/>
    </row>
    <row r="288" spans="1:5" ht="12.75">
      <c r="A288" s="51"/>
      <c r="D288" s="51"/>
      <c r="E288" s="51"/>
    </row>
    <row r="289" spans="1:5" ht="12.75">
      <c r="A289" s="51"/>
      <c r="D289" s="51"/>
      <c r="E289" s="51"/>
    </row>
    <row r="290" spans="1:5" ht="12.75">
      <c r="A290" s="51"/>
      <c r="D290" s="51"/>
      <c r="E290" s="51"/>
    </row>
    <row r="291" spans="1:5" ht="12.75">
      <c r="A291" s="51"/>
      <c r="D291" s="51"/>
      <c r="E291" s="51"/>
    </row>
    <row r="292" spans="1:5" ht="12.75">
      <c r="A292" s="51"/>
      <c r="D292" s="51"/>
      <c r="E292" s="51"/>
    </row>
    <row r="293" spans="1:5" ht="12.75">
      <c r="A293" s="51"/>
      <c r="D293" s="51"/>
      <c r="E293" s="51"/>
    </row>
    <row r="294" spans="1:5" ht="12.75">
      <c r="A294" s="51"/>
      <c r="D294" s="51"/>
      <c r="E294" s="51"/>
    </row>
    <row r="295" spans="1:5" ht="12.75">
      <c r="A295" s="51"/>
      <c r="D295" s="51"/>
      <c r="E295" s="51"/>
    </row>
    <row r="296" spans="1:5" ht="12.75">
      <c r="A296" s="51"/>
      <c r="D296" s="51"/>
      <c r="E296" s="51"/>
    </row>
    <row r="297" spans="1:5" ht="12.75">
      <c r="A297" s="51"/>
      <c r="D297" s="51"/>
      <c r="E297" s="51"/>
    </row>
    <row r="298" spans="1:5" ht="12.75">
      <c r="A298" s="51"/>
      <c r="D298" s="51"/>
      <c r="E298" s="51"/>
    </row>
    <row r="299" spans="1:5" ht="12.75">
      <c r="A299" s="51"/>
      <c r="D299" s="51"/>
      <c r="E299" s="51"/>
    </row>
    <row r="300" spans="1:5" ht="12.75">
      <c r="A300" s="51"/>
      <c r="D300" s="51"/>
      <c r="E300" s="51"/>
    </row>
    <row r="301" spans="1:5" ht="12.75">
      <c r="A301" s="51"/>
      <c r="D301" s="51"/>
      <c r="E301" s="51"/>
    </row>
    <row r="302" spans="1:5" ht="12.75">
      <c r="A302" s="51"/>
      <c r="D302" s="51"/>
      <c r="E302" s="51"/>
    </row>
    <row r="303" spans="1:5" ht="12.75">
      <c r="A303" s="51"/>
      <c r="D303" s="51"/>
      <c r="E303" s="51"/>
    </row>
    <row r="304" spans="1:5" ht="12.75">
      <c r="A304" s="51"/>
      <c r="D304" s="51"/>
      <c r="E304" s="51"/>
    </row>
    <row r="305" spans="1:5" ht="12.75">
      <c r="A305" s="51"/>
      <c r="D305" s="51"/>
      <c r="E305" s="51"/>
    </row>
    <row r="306" spans="1:5" ht="12.75">
      <c r="A306" s="51"/>
      <c r="D306" s="51"/>
      <c r="E306" s="51"/>
    </row>
    <row r="307" spans="1:5" ht="12.75">
      <c r="A307" s="51"/>
      <c r="D307" s="51"/>
      <c r="E307" s="51"/>
    </row>
    <row r="308" spans="1:5" ht="12.75">
      <c r="A308" s="51"/>
      <c r="D308" s="51"/>
      <c r="E308" s="51"/>
    </row>
    <row r="309" spans="1:5" ht="12.75">
      <c r="A309" s="51"/>
      <c r="D309" s="51"/>
      <c r="E309" s="51"/>
    </row>
  </sheetData>
  <sheetProtection sheet="1" objects="1" scenarios="1" selectLockedCells="1"/>
  <mergeCells count="5">
    <mergeCell ref="A109:B109"/>
    <mergeCell ref="D4:F4"/>
    <mergeCell ref="A1:J1"/>
    <mergeCell ref="A2:J2"/>
    <mergeCell ref="A3:J3"/>
  </mergeCells>
  <conditionalFormatting sqref="H78:H107">
    <cfRule type="expression" priority="1" dxfId="46" stopIfTrue="1">
      <formula>AND($K78&lt;&gt;0,$K78&lt;&gt;100)</formula>
    </cfRule>
  </conditionalFormatting>
  <conditionalFormatting sqref="I8:I107">
    <cfRule type="cellIs" priority="2" dxfId="47" operator="equal" stopIfTrue="1">
      <formula>"ск"</formula>
    </cfRule>
  </conditionalFormatting>
  <conditionalFormatting sqref="J8:J107">
    <cfRule type="cellIs" priority="3" dxfId="48" operator="equal" stopIfTrue="1">
      <formula>"ск"</formula>
    </cfRule>
  </conditionalFormatting>
  <conditionalFormatting sqref="H8:H77">
    <cfRule type="expression" priority="4" dxfId="46" stopIfTrue="1">
      <formula>AND($K8&lt;&gt;0,$K8&lt;&gt;2)</formula>
    </cfRule>
  </conditionalFormatting>
  <printOptions horizontalCentered="1"/>
  <pageMargins left="0.15" right="0.25" top="0.25" bottom="0.32" header="0.25" footer="0.26"/>
  <pageSetup fitToHeight="6" fitToWidth="1" horizontalDpi="600" verticalDpi="600" orientation="portrait" paperSize="9" scale="85" r:id="rId3"/>
  <drawing r:id="rId2"/>
  <legacyDrawing r:id="rId1"/>
</worksheet>
</file>

<file path=xl/worksheets/sheet3.xml><?xml version="1.0" encoding="utf-8"?>
<worksheet xmlns="http://schemas.openxmlformats.org/spreadsheetml/2006/main" xmlns:r="http://schemas.openxmlformats.org/officeDocument/2006/relationships">
  <sheetPr codeName="Лист12">
    <outlinePr summaryBelow="0" summaryRight="0"/>
    <pageSetUpPr fitToPage="1"/>
  </sheetPr>
  <dimension ref="A1:T70"/>
  <sheetViews>
    <sheetView showGridLines="0" showRowColHeaders="0" showOutlineSymbols="0" zoomScale="85" zoomScaleNormal="85" zoomScaleSheetLayoutView="100" zoomScalePageLayoutView="0" workbookViewId="0" topLeftCell="A1">
      <pane ySplit="11" topLeftCell="A12" activePane="bottomLeft" state="frozen"/>
      <selection pane="topLeft" activeCell="A5" sqref="A5:R5"/>
      <selection pane="bottomLeft" activeCell="C12" sqref="C12"/>
    </sheetView>
  </sheetViews>
  <sheetFormatPr defaultColWidth="9.00390625" defaultRowHeight="12.75" customHeight="1"/>
  <cols>
    <col min="1" max="1" width="4.75390625" style="192" customWidth="1"/>
    <col min="2" max="2" width="4.75390625" style="181" customWidth="1"/>
    <col min="3" max="3" width="7.75390625" style="181" customWidth="1"/>
    <col min="4" max="4" width="13.875" style="176" customWidth="1"/>
    <col min="5" max="5" width="42.625" style="176" customWidth="1"/>
    <col min="6" max="6" width="6.75390625" style="176" customWidth="1"/>
    <col min="7" max="7" width="10.125" style="216" customWidth="1"/>
    <col min="8" max="8" width="16.00390625" style="182" bestFit="1" customWidth="1"/>
    <col min="9" max="9" width="6.875" style="176" customWidth="1"/>
    <col min="10" max="10" width="9.625" style="176" customWidth="1"/>
    <col min="11" max="11" width="11.375" style="182" customWidth="1"/>
    <col min="12" max="12" width="10.75390625" style="216" customWidth="1"/>
    <col min="13" max="13" width="8.00390625" style="201" hidden="1" customWidth="1"/>
    <col min="14" max="14" width="3.125" style="231" hidden="1" customWidth="1"/>
    <col min="15" max="15" width="2.125" style="232" hidden="1" customWidth="1"/>
    <col min="16" max="17" width="3.125" style="232" hidden="1" customWidth="1"/>
    <col min="18" max="18" width="3.625" style="232" hidden="1" customWidth="1"/>
    <col min="19" max="19" width="16.625" style="232" hidden="1" customWidth="1"/>
    <col min="20" max="20" width="5.625" style="232" hidden="1" customWidth="1"/>
    <col min="21" max="16384" width="9.125" style="176" customWidth="1"/>
  </cols>
  <sheetData>
    <row r="1" spans="1:9" ht="10.5" customHeight="1">
      <c r="A1" s="547" t="s">
        <v>68</v>
      </c>
      <c r="B1" s="547"/>
      <c r="C1" s="547"/>
      <c r="D1" s="547"/>
      <c r="E1" s="313" t="str">
        <f>UPPER(Установка!C3)</f>
        <v>"КУБОК ЮЖНОГО УРАЛА"</v>
      </c>
      <c r="F1" s="175"/>
      <c r="G1" s="218"/>
      <c r="H1" s="184"/>
      <c r="I1" s="175"/>
    </row>
    <row r="2" spans="1:8" ht="10.5" customHeight="1">
      <c r="A2" s="547" t="s">
        <v>34</v>
      </c>
      <c r="B2" s="547"/>
      <c r="C2" s="547"/>
      <c r="D2" s="547"/>
      <c r="E2" s="313" t="str">
        <f>IF(Установка!C7="","",Установка!C7)</f>
        <v>30.04.16-06.05.16</v>
      </c>
      <c r="F2" s="177"/>
      <c r="G2" s="219"/>
      <c r="H2" s="185"/>
    </row>
    <row r="3" spans="1:8" ht="10.5" customHeight="1">
      <c r="A3" s="547" t="s">
        <v>33</v>
      </c>
      <c r="B3" s="547"/>
      <c r="C3" s="547"/>
      <c r="D3" s="547"/>
      <c r="E3" s="314" t="str">
        <f>UPPER(Установка!C6)</f>
        <v>Г.ЧЕЛЯБИНСК</v>
      </c>
      <c r="F3" s="178"/>
      <c r="G3" s="179"/>
      <c r="H3" s="186"/>
    </row>
    <row r="4" spans="1:5" ht="10.5" customHeight="1">
      <c r="A4" s="547" t="s">
        <v>69</v>
      </c>
      <c r="B4" s="547"/>
      <c r="C4" s="547"/>
      <c r="D4" s="547"/>
      <c r="E4" s="314" t="str">
        <f>UPPER(Установка!C8)</f>
        <v>IVБ</v>
      </c>
    </row>
    <row r="5" spans="1:5" ht="10.5" customHeight="1">
      <c r="A5" s="547" t="s">
        <v>50</v>
      </c>
      <c r="B5" s="547"/>
      <c r="C5" s="547"/>
      <c r="D5" s="547"/>
      <c r="E5" s="314" t="str">
        <f>UPPER(Установка!C4)</f>
        <v>ДО 15 ЛЕТ</v>
      </c>
    </row>
    <row r="6" spans="1:5" ht="10.5" customHeight="1">
      <c r="A6" s="547" t="s">
        <v>70</v>
      </c>
      <c r="B6" s="547"/>
      <c r="C6" s="547"/>
      <c r="D6" s="547"/>
      <c r="E6" s="314" t="str">
        <f>UPPER(Установка!C5)</f>
        <v>ЮНОШИ</v>
      </c>
    </row>
    <row r="7" spans="1:5" ht="10.5" customHeight="1">
      <c r="A7" s="547" t="s">
        <v>71</v>
      </c>
      <c r="B7" s="547"/>
      <c r="C7" s="547"/>
      <c r="D7" s="547"/>
      <c r="E7" s="315">
        <f>IF(Установка!C9="","",Установка!C9)</f>
        <v>42478</v>
      </c>
    </row>
    <row r="8" spans="1:12" ht="10.5" customHeight="1">
      <c r="A8" s="547" t="s">
        <v>72</v>
      </c>
      <c r="B8" s="547"/>
      <c r="C8" s="547"/>
      <c r="D8" s="547"/>
      <c r="E8" s="316">
        <f>IF(Установка!C10="","",Установка!C10)</f>
        <v>42461</v>
      </c>
      <c r="F8" s="187"/>
      <c r="G8" s="188"/>
      <c r="H8" s="189"/>
      <c r="I8" s="187"/>
      <c r="J8" s="187"/>
      <c r="K8" s="189"/>
      <c r="L8" s="188"/>
    </row>
    <row r="9" spans="1:12" ht="15">
      <c r="A9" s="546" t="s">
        <v>135</v>
      </c>
      <c r="B9" s="546"/>
      <c r="C9" s="546"/>
      <c r="D9" s="546"/>
      <c r="E9" s="546"/>
      <c r="F9" s="546"/>
      <c r="G9" s="546"/>
      <c r="H9" s="546"/>
      <c r="I9" s="546"/>
      <c r="J9" s="546"/>
      <c r="K9" s="546"/>
      <c r="L9" s="546"/>
    </row>
    <row r="10" spans="1:15" ht="42" customHeight="1">
      <c r="A10" s="546"/>
      <c r="B10" s="546"/>
      <c r="C10" s="546"/>
      <c r="D10" s="546"/>
      <c r="E10" s="546"/>
      <c r="F10" s="546"/>
      <c r="G10" s="546"/>
      <c r="H10" s="546"/>
      <c r="I10" s="546"/>
      <c r="J10" s="546">
        <v>3</v>
      </c>
      <c r="K10" s="546"/>
      <c r="L10" s="546"/>
      <c r="M10" s="247"/>
      <c r="N10" s="384"/>
      <c r="O10" s="231"/>
    </row>
    <row r="11" spans="1:20" s="183" customFormat="1" ht="38.25">
      <c r="A11" s="386"/>
      <c r="B11" s="387" t="s">
        <v>17</v>
      </c>
      <c r="C11" s="387" t="s">
        <v>73</v>
      </c>
      <c r="D11" s="387" t="s">
        <v>120</v>
      </c>
      <c r="E11" s="387" t="s">
        <v>74</v>
      </c>
      <c r="F11" s="387" t="s">
        <v>63</v>
      </c>
      <c r="G11" s="388" t="s">
        <v>75</v>
      </c>
      <c r="H11" s="389" t="s">
        <v>28</v>
      </c>
      <c r="I11" s="387" t="s">
        <v>76</v>
      </c>
      <c r="J11" s="388" t="s">
        <v>79</v>
      </c>
      <c r="K11" s="389" t="s">
        <v>81</v>
      </c>
      <c r="L11" s="390" t="s">
        <v>80</v>
      </c>
      <c r="M11" s="290" t="s">
        <v>59</v>
      </c>
      <c r="N11" s="385"/>
      <c r="O11" s="382"/>
      <c r="P11" s="383"/>
      <c r="Q11" s="383"/>
      <c r="R11" s="383"/>
      <c r="S11" s="383"/>
      <c r="T11" s="383"/>
    </row>
    <row r="12" spans="1:20" s="191" customFormat="1" ht="25.5" customHeight="1">
      <c r="A12" s="199"/>
      <c r="B12" s="200">
        <f aca="true" t="shared" si="0" ref="B12:B35">ROW()-11</f>
        <v>1</v>
      </c>
      <c r="C12" s="374">
        <v>483</v>
      </c>
      <c r="D12" s="374">
        <v>483</v>
      </c>
      <c r="E12" s="208" t="s">
        <v>168</v>
      </c>
      <c r="F12" s="209">
        <v>27757</v>
      </c>
      <c r="G12" s="210">
        <v>37618</v>
      </c>
      <c r="H12" s="208" t="s">
        <v>169</v>
      </c>
      <c r="I12" s="209" t="s">
        <v>170</v>
      </c>
      <c r="J12" s="210"/>
      <c r="K12" s="209"/>
      <c r="L12" s="229" t="s">
        <v>156</v>
      </c>
      <c r="M12" s="291">
        <f aca="true" t="shared" si="1" ref="M12:M35">IF(ISBLANK(E12),2,IF(ISBLANK(J12),0,1))</f>
        <v>0</v>
      </c>
      <c r="N12" s="248">
        <f>LEN(E12)</f>
        <v>23</v>
      </c>
      <c r="O12" s="248">
        <f>IF((N12)=0,0,FIND(" ",E12))</f>
        <v>8</v>
      </c>
      <c r="P12" s="248" t="str">
        <f>IF(OR(ISERR(O12),N12=0),"",CONCATENATE(MID(E12,O12+1,1),"."))</f>
        <v>И.</v>
      </c>
      <c r="Q12" s="248">
        <f>IF(LEN(E12)=0,0,FIND(" ",E12,O12+1))</f>
        <v>14</v>
      </c>
      <c r="R12" s="248" t="str">
        <f>IF(OR(N12=0,ISERR(Q12)),"",CONCATENATE(MID(E12,Q12+1,1),"."))</f>
        <v>А.</v>
      </c>
      <c r="S12" s="248" t="str">
        <f>IF(E12="","",IF(ISERR(O12),UPPER(E12),UPPER(MID(E12,1,O12-1))))</f>
        <v>ТИХОНОВ</v>
      </c>
      <c r="T12" s="248" t="str">
        <f>CONCATENATE(P12,R12)</f>
        <v>И.А.</v>
      </c>
    </row>
    <row r="13" spans="1:20" s="191" customFormat="1" ht="25.5" customHeight="1">
      <c r="A13" s="199"/>
      <c r="B13" s="200">
        <f t="shared" si="0"/>
        <v>2</v>
      </c>
      <c r="C13" s="374">
        <v>379</v>
      </c>
      <c r="D13" s="374">
        <v>379</v>
      </c>
      <c r="E13" s="208" t="s">
        <v>171</v>
      </c>
      <c r="F13" s="209">
        <v>27355</v>
      </c>
      <c r="G13" s="210">
        <v>37339</v>
      </c>
      <c r="H13" s="208" t="s">
        <v>172</v>
      </c>
      <c r="I13" s="209" t="s">
        <v>170</v>
      </c>
      <c r="J13" s="210"/>
      <c r="K13" s="209"/>
      <c r="L13" s="229" t="s">
        <v>156</v>
      </c>
      <c r="M13" s="291">
        <f t="shared" si="1"/>
        <v>0</v>
      </c>
      <c r="N13" s="248">
        <f aca="true" t="shared" si="2" ref="N13:N35">LEN(E13)</f>
        <v>27</v>
      </c>
      <c r="O13" s="248">
        <f aca="true" t="shared" si="3" ref="O13:O35">IF((N13)=0,0,FIND(" ",E13))</f>
        <v>8</v>
      </c>
      <c r="P13" s="248" t="str">
        <f aca="true" t="shared" si="4" ref="P13:P35">IF(OR(ISERR(O13),N13=0),"",CONCATENATE(MID(E13,O13+1,1),"."))</f>
        <v>Д.</v>
      </c>
      <c r="Q13" s="248">
        <f aca="true" t="shared" si="5" ref="Q13:Q35">IF(LEN(E13)=0,0,FIND(" ",E13,O13+1))</f>
        <v>14</v>
      </c>
      <c r="R13" s="248" t="str">
        <f aca="true" t="shared" si="6" ref="R13:R35">IF(OR(N13=0,ISERR(Q13)),"",CONCATENATE(MID(E13,Q13+1,1),"."))</f>
        <v>А.</v>
      </c>
      <c r="S13" s="248" t="str">
        <f aca="true" t="shared" si="7" ref="S13:S35">IF(E13="","",IF(ISERR(O13),UPPER(E13),UPPER(MID(E13,1,O13-1))))</f>
        <v>ШВАЙЦЕР</v>
      </c>
      <c r="T13" s="248" t="str">
        <f aca="true" t="shared" si="8" ref="T13:T35">CONCATENATE(P13,R13)</f>
        <v>Д.А.</v>
      </c>
    </row>
    <row r="14" spans="1:20" s="191" customFormat="1" ht="25.5" customHeight="1">
      <c r="A14" s="199"/>
      <c r="B14" s="200">
        <f t="shared" si="0"/>
        <v>3</v>
      </c>
      <c r="C14" s="374">
        <v>262</v>
      </c>
      <c r="D14" s="374">
        <v>262</v>
      </c>
      <c r="E14" s="208" t="s">
        <v>174</v>
      </c>
      <c r="F14" s="209">
        <v>24902</v>
      </c>
      <c r="G14" s="210">
        <v>37377</v>
      </c>
      <c r="H14" s="208" t="s">
        <v>172</v>
      </c>
      <c r="I14" s="209" t="s">
        <v>170</v>
      </c>
      <c r="J14" s="210"/>
      <c r="K14" s="209"/>
      <c r="L14" s="229" t="s">
        <v>156</v>
      </c>
      <c r="M14" s="291">
        <f t="shared" si="1"/>
        <v>0</v>
      </c>
      <c r="N14" s="248">
        <f t="shared" si="2"/>
        <v>22</v>
      </c>
      <c r="O14" s="248">
        <f t="shared" si="3"/>
        <v>8</v>
      </c>
      <c r="P14" s="248" t="str">
        <f t="shared" si="4"/>
        <v>Э.</v>
      </c>
      <c r="Q14" s="248">
        <f t="shared" si="5"/>
        <v>13</v>
      </c>
      <c r="R14" s="248" t="str">
        <f t="shared" si="6"/>
        <v>Т.</v>
      </c>
      <c r="S14" s="248" t="str">
        <f t="shared" si="7"/>
        <v>ЦВИКЛИЧ</v>
      </c>
      <c r="T14" s="248" t="str">
        <f t="shared" si="8"/>
        <v>Э.Т.</v>
      </c>
    </row>
    <row r="15" spans="1:20" s="191" customFormat="1" ht="25.5" customHeight="1">
      <c r="A15" s="199"/>
      <c r="B15" s="200">
        <f t="shared" si="0"/>
        <v>4</v>
      </c>
      <c r="C15" s="374">
        <v>256</v>
      </c>
      <c r="D15" s="374">
        <v>256</v>
      </c>
      <c r="E15" s="208" t="s">
        <v>175</v>
      </c>
      <c r="F15" s="209">
        <v>25635</v>
      </c>
      <c r="G15" s="210">
        <v>37264</v>
      </c>
      <c r="H15" s="208" t="s">
        <v>176</v>
      </c>
      <c r="I15" s="209" t="s">
        <v>170</v>
      </c>
      <c r="J15" s="210"/>
      <c r="K15" s="209"/>
      <c r="L15" s="229" t="s">
        <v>156</v>
      </c>
      <c r="M15" s="291">
        <f t="shared" si="1"/>
        <v>0</v>
      </c>
      <c r="N15" s="248">
        <f t="shared" si="2"/>
        <v>29</v>
      </c>
      <c r="O15" s="248">
        <f t="shared" si="3"/>
        <v>10</v>
      </c>
      <c r="P15" s="248" t="str">
        <f t="shared" si="4"/>
        <v>М.</v>
      </c>
      <c r="Q15" s="248">
        <f t="shared" si="5"/>
        <v>17</v>
      </c>
      <c r="R15" s="248" t="str">
        <f t="shared" si="6"/>
        <v>В.</v>
      </c>
      <c r="S15" s="248" t="str">
        <f t="shared" si="7"/>
        <v>ГОРОДИЛОВ</v>
      </c>
      <c r="T15" s="248" t="str">
        <f t="shared" si="8"/>
        <v>М.В.</v>
      </c>
    </row>
    <row r="16" spans="1:20" s="191" customFormat="1" ht="25.5" customHeight="1">
      <c r="A16" s="199"/>
      <c r="B16" s="200">
        <f t="shared" si="0"/>
        <v>5</v>
      </c>
      <c r="C16" s="374">
        <v>253</v>
      </c>
      <c r="D16" s="374">
        <v>253</v>
      </c>
      <c r="E16" s="208" t="s">
        <v>177</v>
      </c>
      <c r="F16" s="209">
        <v>28022</v>
      </c>
      <c r="G16" s="210">
        <v>37703</v>
      </c>
      <c r="H16" s="208" t="s">
        <v>178</v>
      </c>
      <c r="I16" s="209" t="s">
        <v>170</v>
      </c>
      <c r="J16" s="210"/>
      <c r="K16" s="209"/>
      <c r="L16" s="229" t="s">
        <v>156</v>
      </c>
      <c r="M16" s="291">
        <f t="shared" si="1"/>
        <v>0</v>
      </c>
      <c r="N16" s="248">
        <f t="shared" si="2"/>
        <v>25</v>
      </c>
      <c r="O16" s="248">
        <f t="shared" si="3"/>
        <v>8</v>
      </c>
      <c r="P16" s="248" t="str">
        <f t="shared" si="4"/>
        <v>Н.</v>
      </c>
      <c r="Q16" s="248">
        <f t="shared" si="5"/>
        <v>15</v>
      </c>
      <c r="R16" s="248" t="str">
        <f t="shared" si="6"/>
        <v>Е.</v>
      </c>
      <c r="S16" s="248" t="str">
        <f t="shared" si="7"/>
        <v>ПАДЕРИН</v>
      </c>
      <c r="T16" s="248" t="str">
        <f t="shared" si="8"/>
        <v>Н.Е.</v>
      </c>
    </row>
    <row r="17" spans="1:20" s="191" customFormat="1" ht="25.5" customHeight="1">
      <c r="A17" s="199"/>
      <c r="B17" s="200">
        <f t="shared" si="0"/>
        <v>6</v>
      </c>
      <c r="C17" s="374">
        <v>249</v>
      </c>
      <c r="D17" s="374">
        <v>249</v>
      </c>
      <c r="E17" s="208" t="s">
        <v>179</v>
      </c>
      <c r="F17" s="209">
        <v>27279</v>
      </c>
      <c r="G17" s="210">
        <v>37893</v>
      </c>
      <c r="H17" s="208" t="s">
        <v>180</v>
      </c>
      <c r="I17" s="209"/>
      <c r="J17" s="210"/>
      <c r="K17" s="209"/>
      <c r="L17" s="229" t="s">
        <v>156</v>
      </c>
      <c r="M17" s="291">
        <f t="shared" si="1"/>
        <v>0</v>
      </c>
      <c r="N17" s="248">
        <f t="shared" si="2"/>
        <v>22</v>
      </c>
      <c r="O17" s="248">
        <f t="shared" si="3"/>
        <v>7</v>
      </c>
      <c r="P17" s="248" t="str">
        <f t="shared" si="4"/>
        <v>П.</v>
      </c>
      <c r="Q17" s="248">
        <f t="shared" si="5"/>
        <v>12</v>
      </c>
      <c r="R17" s="248" t="str">
        <f t="shared" si="6"/>
        <v>Е.</v>
      </c>
      <c r="S17" s="248" t="str">
        <f t="shared" si="7"/>
        <v>ФАДЕЕВ</v>
      </c>
      <c r="T17" s="248" t="str">
        <f t="shared" si="8"/>
        <v>П.Е.</v>
      </c>
    </row>
    <row r="18" spans="1:20" s="191" customFormat="1" ht="25.5" customHeight="1">
      <c r="A18" s="199"/>
      <c r="B18" s="200">
        <f t="shared" si="0"/>
        <v>7</v>
      </c>
      <c r="C18" s="374">
        <v>217</v>
      </c>
      <c r="D18" s="374">
        <v>217</v>
      </c>
      <c r="E18" s="208" t="s">
        <v>181</v>
      </c>
      <c r="F18" s="209">
        <v>30971</v>
      </c>
      <c r="G18" s="210">
        <v>37624</v>
      </c>
      <c r="H18" s="208" t="s">
        <v>180</v>
      </c>
      <c r="I18" s="209" t="s">
        <v>170</v>
      </c>
      <c r="J18" s="210"/>
      <c r="K18" s="209"/>
      <c r="L18" s="229" t="s">
        <v>156</v>
      </c>
      <c r="M18" s="291">
        <f t="shared" si="1"/>
        <v>0</v>
      </c>
      <c r="N18" s="248">
        <f t="shared" si="2"/>
        <v>23</v>
      </c>
      <c r="O18" s="248">
        <f t="shared" si="3"/>
        <v>16</v>
      </c>
      <c r="P18" s="248" t="str">
        <f t="shared" si="4"/>
        <v>А.</v>
      </c>
      <c r="Q18" s="248" t="e">
        <f t="shared" si="5"/>
        <v>#VALUE!</v>
      </c>
      <c r="R18" s="248">
        <f t="shared" si="6"/>
      </c>
      <c r="S18" s="248" t="str">
        <f t="shared" si="7"/>
        <v>СЕГУРА-ОНИЩЕНКО</v>
      </c>
      <c r="T18" s="248" t="str">
        <f t="shared" si="8"/>
        <v>А.</v>
      </c>
    </row>
    <row r="19" spans="1:20" s="191" customFormat="1" ht="25.5" customHeight="1">
      <c r="A19" s="199"/>
      <c r="B19" s="200">
        <f t="shared" si="0"/>
        <v>8</v>
      </c>
      <c r="C19" s="374">
        <v>201</v>
      </c>
      <c r="D19" s="374">
        <v>201</v>
      </c>
      <c r="E19" s="208" t="s">
        <v>182</v>
      </c>
      <c r="F19" s="209">
        <v>24924</v>
      </c>
      <c r="G19" s="210">
        <v>37341</v>
      </c>
      <c r="H19" s="208" t="s">
        <v>173</v>
      </c>
      <c r="I19" s="209" t="s">
        <v>170</v>
      </c>
      <c r="J19" s="210"/>
      <c r="K19" s="209"/>
      <c r="L19" s="229" t="s">
        <v>156</v>
      </c>
      <c r="M19" s="291">
        <f t="shared" si="1"/>
        <v>0</v>
      </c>
      <c r="N19" s="248">
        <f t="shared" si="2"/>
        <v>21</v>
      </c>
      <c r="O19" s="248">
        <f t="shared" si="3"/>
        <v>8</v>
      </c>
      <c r="P19" s="248" t="str">
        <f t="shared" si="4"/>
        <v>И.</v>
      </c>
      <c r="Q19" s="248">
        <f t="shared" si="5"/>
        <v>13</v>
      </c>
      <c r="R19" s="248" t="str">
        <f t="shared" si="6"/>
        <v>П.</v>
      </c>
      <c r="S19" s="248" t="str">
        <f t="shared" si="7"/>
        <v>АНТИПОВ</v>
      </c>
      <c r="T19" s="248" t="str">
        <f t="shared" si="8"/>
        <v>И.П.</v>
      </c>
    </row>
    <row r="20" spans="1:20" s="191" customFormat="1" ht="25.5" customHeight="1">
      <c r="A20" s="199"/>
      <c r="B20" s="200">
        <f t="shared" si="0"/>
        <v>9</v>
      </c>
      <c r="C20" s="374">
        <v>169</v>
      </c>
      <c r="D20" s="374">
        <v>169</v>
      </c>
      <c r="E20" s="208" t="s">
        <v>183</v>
      </c>
      <c r="F20" s="209">
        <v>29771</v>
      </c>
      <c r="G20" s="210">
        <v>38077</v>
      </c>
      <c r="H20" s="208" t="s">
        <v>172</v>
      </c>
      <c r="I20" s="209" t="s">
        <v>170</v>
      </c>
      <c r="J20" s="210"/>
      <c r="K20" s="209"/>
      <c r="L20" s="229" t="s">
        <v>156</v>
      </c>
      <c r="M20" s="291">
        <f t="shared" si="1"/>
        <v>0</v>
      </c>
      <c r="N20" s="248">
        <f t="shared" si="2"/>
        <v>33</v>
      </c>
      <c r="O20" s="248">
        <f t="shared" si="3"/>
        <v>12</v>
      </c>
      <c r="P20" s="248" t="str">
        <f t="shared" si="4"/>
        <v>В.</v>
      </c>
      <c r="Q20" s="248">
        <f t="shared" si="5"/>
        <v>22</v>
      </c>
      <c r="R20" s="248" t="str">
        <f t="shared" si="6"/>
        <v>А.</v>
      </c>
      <c r="S20" s="248" t="str">
        <f t="shared" si="7"/>
        <v>ШАЙХУТДИНОВ</v>
      </c>
      <c r="T20" s="248" t="str">
        <f t="shared" si="8"/>
        <v>В.А.</v>
      </c>
    </row>
    <row r="21" spans="1:20" s="191" customFormat="1" ht="25.5" customHeight="1">
      <c r="A21" s="199"/>
      <c r="B21" s="200">
        <f t="shared" si="0"/>
        <v>10</v>
      </c>
      <c r="C21" s="374">
        <v>166</v>
      </c>
      <c r="D21" s="374">
        <v>166</v>
      </c>
      <c r="E21" s="208" t="s">
        <v>184</v>
      </c>
      <c r="F21" s="209">
        <v>31352</v>
      </c>
      <c r="G21" s="210">
        <v>37735</v>
      </c>
      <c r="H21" s="208" t="s">
        <v>176</v>
      </c>
      <c r="I21" s="209" t="s">
        <v>170</v>
      </c>
      <c r="J21" s="210"/>
      <c r="K21" s="209"/>
      <c r="L21" s="229" t="s">
        <v>156</v>
      </c>
      <c r="M21" s="291">
        <f t="shared" si="1"/>
        <v>0</v>
      </c>
      <c r="N21" s="248">
        <f t="shared" si="2"/>
        <v>24</v>
      </c>
      <c r="O21" s="248">
        <f t="shared" si="3"/>
        <v>8</v>
      </c>
      <c r="P21" s="248" t="str">
        <f t="shared" si="4"/>
        <v>Н.</v>
      </c>
      <c r="Q21" s="248">
        <f t="shared" si="5"/>
        <v>15</v>
      </c>
      <c r="R21" s="248" t="str">
        <f t="shared" si="6"/>
        <v>А.</v>
      </c>
      <c r="S21" s="248" t="str">
        <f t="shared" si="7"/>
        <v>НОВИКОВ</v>
      </c>
      <c r="T21" s="248" t="str">
        <f t="shared" si="8"/>
        <v>Н.А.</v>
      </c>
    </row>
    <row r="22" spans="1:20" s="191" customFormat="1" ht="25.5" customHeight="1">
      <c r="A22" s="199"/>
      <c r="B22" s="200">
        <f t="shared" si="0"/>
        <v>11</v>
      </c>
      <c r="C22" s="374">
        <v>122</v>
      </c>
      <c r="D22" s="374">
        <v>122</v>
      </c>
      <c r="E22" s="208" t="s">
        <v>185</v>
      </c>
      <c r="F22" s="209">
        <v>29018</v>
      </c>
      <c r="G22" s="210">
        <v>38127</v>
      </c>
      <c r="H22" s="208" t="s">
        <v>176</v>
      </c>
      <c r="I22" s="209" t="s">
        <v>170</v>
      </c>
      <c r="J22" s="210"/>
      <c r="K22" s="209"/>
      <c r="L22" s="229" t="s">
        <v>156</v>
      </c>
      <c r="M22" s="291">
        <f t="shared" si="1"/>
        <v>0</v>
      </c>
      <c r="N22" s="248">
        <f t="shared" si="2"/>
        <v>24</v>
      </c>
      <c r="O22" s="248">
        <f t="shared" si="3"/>
        <v>5</v>
      </c>
      <c r="P22" s="248" t="str">
        <f t="shared" si="4"/>
        <v>В.</v>
      </c>
      <c r="Q22" s="248">
        <f t="shared" si="5"/>
        <v>14</v>
      </c>
      <c r="R22" s="248" t="str">
        <f t="shared" si="6"/>
        <v>М.</v>
      </c>
      <c r="S22" s="248" t="str">
        <f t="shared" si="7"/>
        <v>ЮЛИК</v>
      </c>
      <c r="T22" s="248" t="str">
        <f t="shared" si="8"/>
        <v>В.М.</v>
      </c>
    </row>
    <row r="23" spans="1:20" s="191" customFormat="1" ht="25.5" customHeight="1">
      <c r="A23" s="199"/>
      <c r="B23" s="200">
        <f t="shared" si="0"/>
        <v>12</v>
      </c>
      <c r="C23" s="374">
        <v>65</v>
      </c>
      <c r="D23" s="374">
        <v>65</v>
      </c>
      <c r="E23" s="208" t="s">
        <v>186</v>
      </c>
      <c r="F23" s="209">
        <v>34003</v>
      </c>
      <c r="G23" s="210">
        <v>38516</v>
      </c>
      <c r="H23" s="208" t="s">
        <v>187</v>
      </c>
      <c r="I23" s="209" t="s">
        <v>170</v>
      </c>
      <c r="J23" s="210"/>
      <c r="K23" s="209"/>
      <c r="L23" s="229" t="s">
        <v>156</v>
      </c>
      <c r="M23" s="291">
        <f t="shared" si="1"/>
        <v>0</v>
      </c>
      <c r="N23" s="248">
        <f t="shared" si="2"/>
        <v>26</v>
      </c>
      <c r="O23" s="248">
        <f t="shared" si="3"/>
        <v>8</v>
      </c>
      <c r="P23" s="248" t="str">
        <f t="shared" si="4"/>
        <v>Д.</v>
      </c>
      <c r="Q23" s="248">
        <f t="shared" si="5"/>
        <v>14</v>
      </c>
      <c r="R23" s="248" t="str">
        <f t="shared" si="6"/>
        <v>В.</v>
      </c>
      <c r="S23" s="248" t="str">
        <f t="shared" si="7"/>
        <v>СМИРНОВ</v>
      </c>
      <c r="T23" s="248" t="str">
        <f t="shared" si="8"/>
        <v>Д.В.</v>
      </c>
    </row>
    <row r="24" spans="1:20" s="191" customFormat="1" ht="25.5" customHeight="1">
      <c r="A24" s="199"/>
      <c r="B24" s="200">
        <f t="shared" si="0"/>
        <v>13</v>
      </c>
      <c r="C24" s="374">
        <v>53</v>
      </c>
      <c r="D24" s="374">
        <v>53</v>
      </c>
      <c r="E24" s="208" t="s">
        <v>188</v>
      </c>
      <c r="F24" s="209">
        <v>33411</v>
      </c>
      <c r="G24" s="210">
        <v>38659</v>
      </c>
      <c r="H24" s="208" t="s">
        <v>172</v>
      </c>
      <c r="I24" s="209" t="s">
        <v>170</v>
      </c>
      <c r="J24" s="210"/>
      <c r="K24" s="209"/>
      <c r="L24" s="229" t="s">
        <v>156</v>
      </c>
      <c r="M24" s="291">
        <f t="shared" si="1"/>
        <v>0</v>
      </c>
      <c r="N24" s="248">
        <f t="shared" si="2"/>
        <v>21</v>
      </c>
      <c r="O24" s="248">
        <f t="shared" si="3"/>
        <v>7</v>
      </c>
      <c r="P24" s="248" t="str">
        <f t="shared" si="4"/>
        <v>Н.</v>
      </c>
      <c r="Q24" s="248">
        <f t="shared" si="5"/>
        <v>14</v>
      </c>
      <c r="R24" s="248" t="str">
        <f t="shared" si="6"/>
        <v>Ю.</v>
      </c>
      <c r="S24" s="248" t="str">
        <f t="shared" si="7"/>
        <v>КОЗЛОВ</v>
      </c>
      <c r="T24" s="248" t="str">
        <f t="shared" si="8"/>
        <v>Н.Ю.</v>
      </c>
    </row>
    <row r="25" spans="1:20" s="191" customFormat="1" ht="25.5" customHeight="1">
      <c r="A25" s="199"/>
      <c r="B25" s="200">
        <f t="shared" si="0"/>
        <v>14</v>
      </c>
      <c r="C25" s="374">
        <v>48</v>
      </c>
      <c r="D25" s="374">
        <v>48</v>
      </c>
      <c r="E25" s="208" t="s">
        <v>189</v>
      </c>
      <c r="F25" s="209">
        <v>31320</v>
      </c>
      <c r="G25" s="210">
        <v>37643</v>
      </c>
      <c r="H25" s="208" t="s">
        <v>176</v>
      </c>
      <c r="I25" s="209" t="s">
        <v>170</v>
      </c>
      <c r="J25" s="210"/>
      <c r="K25" s="209"/>
      <c r="L25" s="229" t="s">
        <v>156</v>
      </c>
      <c r="M25" s="291">
        <f t="shared" si="1"/>
        <v>0</v>
      </c>
      <c r="N25" s="248">
        <f t="shared" si="2"/>
        <v>26</v>
      </c>
      <c r="O25" s="248">
        <f t="shared" si="3"/>
        <v>9</v>
      </c>
      <c r="P25" s="248" t="str">
        <f t="shared" si="4"/>
        <v>В.</v>
      </c>
      <c r="Q25" s="248">
        <f t="shared" si="5"/>
        <v>17</v>
      </c>
      <c r="R25" s="248" t="str">
        <f t="shared" si="6"/>
        <v>А.</v>
      </c>
      <c r="S25" s="248" t="str">
        <f t="shared" si="7"/>
        <v>ХЛОПУНОВ</v>
      </c>
      <c r="T25" s="248" t="str">
        <f t="shared" si="8"/>
        <v>В.А.</v>
      </c>
    </row>
    <row r="26" spans="1:20" s="191" customFormat="1" ht="25.5" customHeight="1">
      <c r="A26" s="199"/>
      <c r="B26" s="200">
        <f t="shared" si="0"/>
        <v>15</v>
      </c>
      <c r="C26" s="374">
        <v>47</v>
      </c>
      <c r="D26" s="374">
        <v>47</v>
      </c>
      <c r="E26" s="208" t="s">
        <v>190</v>
      </c>
      <c r="F26" s="209">
        <v>32909</v>
      </c>
      <c r="G26" s="210">
        <v>38114</v>
      </c>
      <c r="H26" s="208" t="s">
        <v>176</v>
      </c>
      <c r="I26" s="209" t="s">
        <v>170</v>
      </c>
      <c r="J26" s="210"/>
      <c r="K26" s="209"/>
      <c r="L26" s="229" t="s">
        <v>156</v>
      </c>
      <c r="M26" s="291">
        <f t="shared" si="1"/>
        <v>0</v>
      </c>
      <c r="N26" s="248">
        <f t="shared" si="2"/>
        <v>23</v>
      </c>
      <c r="O26" s="248">
        <f t="shared" si="3"/>
        <v>8</v>
      </c>
      <c r="P26" s="248" t="str">
        <f t="shared" si="4"/>
        <v>С.</v>
      </c>
      <c r="Q26" s="248">
        <f t="shared" si="5"/>
        <v>15</v>
      </c>
      <c r="R26" s="248" t="str">
        <f t="shared" si="6"/>
        <v>О.</v>
      </c>
      <c r="S26" s="248" t="str">
        <f t="shared" si="7"/>
        <v>БОРОХОВ</v>
      </c>
      <c r="T26" s="248" t="str">
        <f t="shared" si="8"/>
        <v>С.О.</v>
      </c>
    </row>
    <row r="27" spans="1:20" s="191" customFormat="1" ht="25.5" customHeight="1">
      <c r="A27" s="199"/>
      <c r="B27" s="200">
        <f t="shared" si="0"/>
        <v>16</v>
      </c>
      <c r="C27" s="374">
        <v>41</v>
      </c>
      <c r="D27" s="374">
        <v>41</v>
      </c>
      <c r="E27" s="208" t="s">
        <v>191</v>
      </c>
      <c r="F27" s="209">
        <v>34370</v>
      </c>
      <c r="G27" s="210">
        <v>37818</v>
      </c>
      <c r="H27" s="208" t="s">
        <v>176</v>
      </c>
      <c r="I27" s="209" t="s">
        <v>170</v>
      </c>
      <c r="J27" s="210"/>
      <c r="K27" s="209"/>
      <c r="L27" s="229" t="s">
        <v>156</v>
      </c>
      <c r="M27" s="291">
        <f t="shared" si="1"/>
        <v>0</v>
      </c>
      <c r="N27" s="248">
        <f t="shared" si="2"/>
        <v>24</v>
      </c>
      <c r="O27" s="248">
        <f t="shared" si="3"/>
        <v>8</v>
      </c>
      <c r="P27" s="248" t="str">
        <f t="shared" si="4"/>
        <v>А.</v>
      </c>
      <c r="Q27" s="248">
        <f t="shared" si="5"/>
        <v>14</v>
      </c>
      <c r="R27" s="248" t="str">
        <f t="shared" si="6"/>
        <v>М.</v>
      </c>
      <c r="S27" s="248" t="str">
        <f t="shared" si="7"/>
        <v>ЕРМАКОВ</v>
      </c>
      <c r="T27" s="248" t="str">
        <f t="shared" si="8"/>
        <v>А.М.</v>
      </c>
    </row>
    <row r="28" spans="1:20" s="191" customFormat="1" ht="25.5" customHeight="1">
      <c r="A28" s="199"/>
      <c r="B28" s="200">
        <f t="shared" si="0"/>
        <v>17</v>
      </c>
      <c r="C28" s="374"/>
      <c r="D28" s="374"/>
      <c r="E28" s="208"/>
      <c r="F28" s="209"/>
      <c r="G28" s="210"/>
      <c r="H28" s="208"/>
      <c r="I28" s="209"/>
      <c r="J28" s="210"/>
      <c r="K28" s="209"/>
      <c r="L28" s="229"/>
      <c r="M28" s="291">
        <f t="shared" si="1"/>
        <v>2</v>
      </c>
      <c r="N28" s="248">
        <f t="shared" si="2"/>
        <v>0</v>
      </c>
      <c r="O28" s="248">
        <f t="shared" si="3"/>
        <v>0</v>
      </c>
      <c r="P28" s="248">
        <f t="shared" si="4"/>
      </c>
      <c r="Q28" s="248">
        <f t="shared" si="5"/>
        <v>0</v>
      </c>
      <c r="R28" s="248">
        <f t="shared" si="6"/>
      </c>
      <c r="S28" s="248">
        <f t="shared" si="7"/>
      </c>
      <c r="T28" s="248">
        <f t="shared" si="8"/>
      </c>
    </row>
    <row r="29" spans="1:20" s="191" customFormat="1" ht="25.5" customHeight="1">
      <c r="A29" s="199"/>
      <c r="B29" s="200">
        <f t="shared" si="0"/>
        <v>18</v>
      </c>
      <c r="C29" s="374"/>
      <c r="D29" s="374"/>
      <c r="E29" s="208"/>
      <c r="F29" s="209"/>
      <c r="G29" s="210"/>
      <c r="H29" s="208"/>
      <c r="I29" s="209"/>
      <c r="J29" s="210"/>
      <c r="K29" s="209"/>
      <c r="L29" s="229"/>
      <c r="M29" s="291">
        <f t="shared" si="1"/>
        <v>2</v>
      </c>
      <c r="N29" s="248">
        <f t="shared" si="2"/>
        <v>0</v>
      </c>
      <c r="O29" s="248">
        <f t="shared" si="3"/>
        <v>0</v>
      </c>
      <c r="P29" s="248">
        <f t="shared" si="4"/>
      </c>
      <c r="Q29" s="248">
        <f t="shared" si="5"/>
        <v>0</v>
      </c>
      <c r="R29" s="248">
        <f t="shared" si="6"/>
      </c>
      <c r="S29" s="248">
        <f t="shared" si="7"/>
      </c>
      <c r="T29" s="248">
        <f t="shared" si="8"/>
      </c>
    </row>
    <row r="30" spans="1:20" s="191" customFormat="1" ht="25.5" customHeight="1">
      <c r="A30" s="199"/>
      <c r="B30" s="200">
        <f t="shared" si="0"/>
        <v>19</v>
      </c>
      <c r="C30" s="374"/>
      <c r="D30" s="374"/>
      <c r="E30" s="208"/>
      <c r="F30" s="209"/>
      <c r="G30" s="210"/>
      <c r="H30" s="208"/>
      <c r="I30" s="209"/>
      <c r="J30" s="210"/>
      <c r="K30" s="209"/>
      <c r="L30" s="229"/>
      <c r="M30" s="291">
        <f t="shared" si="1"/>
        <v>2</v>
      </c>
      <c r="N30" s="248">
        <f t="shared" si="2"/>
        <v>0</v>
      </c>
      <c r="O30" s="248">
        <f t="shared" si="3"/>
        <v>0</v>
      </c>
      <c r="P30" s="248">
        <f t="shared" si="4"/>
      </c>
      <c r="Q30" s="248">
        <f t="shared" si="5"/>
        <v>0</v>
      </c>
      <c r="R30" s="248">
        <f t="shared" si="6"/>
      </c>
      <c r="S30" s="248">
        <f t="shared" si="7"/>
      </c>
      <c r="T30" s="248">
        <f t="shared" si="8"/>
      </c>
    </row>
    <row r="31" spans="1:20" s="191" customFormat="1" ht="25.5" customHeight="1">
      <c r="A31" s="199"/>
      <c r="B31" s="200">
        <f t="shared" si="0"/>
        <v>20</v>
      </c>
      <c r="C31" s="374"/>
      <c r="D31" s="374"/>
      <c r="E31" s="208"/>
      <c r="F31" s="209"/>
      <c r="G31" s="210"/>
      <c r="H31" s="208"/>
      <c r="I31" s="209"/>
      <c r="J31" s="210"/>
      <c r="K31" s="209"/>
      <c r="L31" s="229"/>
      <c r="M31" s="291">
        <f t="shared" si="1"/>
        <v>2</v>
      </c>
      <c r="N31" s="248">
        <f t="shared" si="2"/>
        <v>0</v>
      </c>
      <c r="O31" s="248">
        <f t="shared" si="3"/>
        <v>0</v>
      </c>
      <c r="P31" s="248">
        <f t="shared" si="4"/>
      </c>
      <c r="Q31" s="248">
        <f t="shared" si="5"/>
        <v>0</v>
      </c>
      <c r="R31" s="248">
        <f t="shared" si="6"/>
      </c>
      <c r="S31" s="248">
        <f t="shared" si="7"/>
      </c>
      <c r="T31" s="248">
        <f t="shared" si="8"/>
      </c>
    </row>
    <row r="32" spans="1:20" s="191" customFormat="1" ht="25.5" customHeight="1">
      <c r="A32" s="268" t="s">
        <v>85</v>
      </c>
      <c r="B32" s="200">
        <f t="shared" si="0"/>
        <v>21</v>
      </c>
      <c r="C32" s="374">
        <v>12</v>
      </c>
      <c r="D32" s="374">
        <v>12</v>
      </c>
      <c r="E32" s="208" t="s">
        <v>192</v>
      </c>
      <c r="F32" s="209">
        <v>34911</v>
      </c>
      <c r="G32" s="210">
        <v>38614</v>
      </c>
      <c r="H32" s="208" t="s">
        <v>176</v>
      </c>
      <c r="I32" s="209" t="s">
        <v>170</v>
      </c>
      <c r="J32" s="210"/>
      <c r="K32" s="209"/>
      <c r="L32" s="229" t="s">
        <v>156</v>
      </c>
      <c r="M32" s="291">
        <f t="shared" si="1"/>
        <v>0</v>
      </c>
      <c r="N32" s="248">
        <f t="shared" si="2"/>
        <v>23</v>
      </c>
      <c r="O32" s="248">
        <f t="shared" si="3"/>
        <v>8</v>
      </c>
      <c r="P32" s="248" t="str">
        <f t="shared" si="4"/>
        <v>Н.</v>
      </c>
      <c r="Q32" s="248">
        <f t="shared" si="5"/>
        <v>15</v>
      </c>
      <c r="R32" s="248" t="str">
        <f t="shared" si="6"/>
        <v>О.</v>
      </c>
      <c r="S32" s="248" t="str">
        <f t="shared" si="7"/>
        <v>ПОТАПОВ</v>
      </c>
      <c r="T32" s="248" t="str">
        <f t="shared" si="8"/>
        <v>Н.О.</v>
      </c>
    </row>
    <row r="33" spans="1:20" s="191" customFormat="1" ht="25.5" customHeight="1">
      <c r="A33" s="268" t="s">
        <v>86</v>
      </c>
      <c r="B33" s="200">
        <f t="shared" si="0"/>
        <v>22</v>
      </c>
      <c r="C33" s="374">
        <v>6</v>
      </c>
      <c r="D33" s="374">
        <v>6</v>
      </c>
      <c r="E33" s="208" t="s">
        <v>193</v>
      </c>
      <c r="F33" s="209">
        <v>35241</v>
      </c>
      <c r="G33" s="210">
        <v>38263</v>
      </c>
      <c r="H33" s="208" t="s">
        <v>176</v>
      </c>
      <c r="I33" s="209"/>
      <c r="J33" s="210"/>
      <c r="K33" s="209"/>
      <c r="L33" s="229" t="s">
        <v>156</v>
      </c>
      <c r="M33" s="291">
        <f t="shared" si="1"/>
        <v>0</v>
      </c>
      <c r="N33" s="248">
        <f t="shared" si="2"/>
        <v>21</v>
      </c>
      <c r="O33" s="248">
        <f t="shared" si="3"/>
        <v>6</v>
      </c>
      <c r="P33" s="248" t="str">
        <f t="shared" si="4"/>
        <v>Д.</v>
      </c>
      <c r="Q33" s="248">
        <f t="shared" si="5"/>
        <v>13</v>
      </c>
      <c r="R33" s="248" t="str">
        <f t="shared" si="6"/>
        <v>И.</v>
      </c>
      <c r="S33" s="248" t="str">
        <f t="shared" si="7"/>
        <v>ЮРКОВ</v>
      </c>
      <c r="T33" s="248" t="str">
        <f t="shared" si="8"/>
        <v>Д.И.</v>
      </c>
    </row>
    <row r="34" spans="1:20" s="191" customFormat="1" ht="25.5" customHeight="1">
      <c r="A34" s="268" t="s">
        <v>87</v>
      </c>
      <c r="B34" s="200">
        <f t="shared" si="0"/>
        <v>23</v>
      </c>
      <c r="C34" s="374"/>
      <c r="D34" s="374"/>
      <c r="E34" s="208"/>
      <c r="F34" s="209"/>
      <c r="G34" s="210"/>
      <c r="H34" s="208"/>
      <c r="I34" s="209"/>
      <c r="J34" s="210"/>
      <c r="K34" s="209"/>
      <c r="L34" s="229"/>
      <c r="M34" s="291">
        <f t="shared" si="1"/>
        <v>2</v>
      </c>
      <c r="N34" s="248">
        <f t="shared" si="2"/>
        <v>0</v>
      </c>
      <c r="O34" s="248">
        <f t="shared" si="3"/>
        <v>0</v>
      </c>
      <c r="P34" s="248">
        <f t="shared" si="4"/>
      </c>
      <c r="Q34" s="248">
        <f t="shared" si="5"/>
        <v>0</v>
      </c>
      <c r="R34" s="248">
        <f t="shared" si="6"/>
      </c>
      <c r="S34" s="248">
        <f t="shared" si="7"/>
      </c>
      <c r="T34" s="248">
        <f t="shared" si="8"/>
      </c>
    </row>
    <row r="35" spans="1:20" s="191" customFormat="1" ht="25.5" customHeight="1">
      <c r="A35" s="268" t="s">
        <v>88</v>
      </c>
      <c r="B35" s="200">
        <f t="shared" si="0"/>
        <v>24</v>
      </c>
      <c r="C35" s="374"/>
      <c r="D35" s="374"/>
      <c r="E35" s="208"/>
      <c r="F35" s="209"/>
      <c r="G35" s="210"/>
      <c r="H35" s="208"/>
      <c r="I35" s="209"/>
      <c r="J35" s="210"/>
      <c r="K35" s="209"/>
      <c r="L35" s="229"/>
      <c r="M35" s="291">
        <f t="shared" si="1"/>
        <v>2</v>
      </c>
      <c r="N35" s="248">
        <f t="shared" si="2"/>
        <v>0</v>
      </c>
      <c r="O35" s="248">
        <f t="shared" si="3"/>
        <v>0</v>
      </c>
      <c r="P35" s="248">
        <f t="shared" si="4"/>
      </c>
      <c r="Q35" s="248">
        <f t="shared" si="5"/>
        <v>0</v>
      </c>
      <c r="R35" s="248">
        <f t="shared" si="6"/>
      </c>
      <c r="S35" s="248">
        <f t="shared" si="7"/>
      </c>
      <c r="T35" s="248">
        <f t="shared" si="8"/>
      </c>
    </row>
    <row r="36" spans="1:20" s="180" customFormat="1" ht="14.25" customHeight="1">
      <c r="A36" s="195"/>
      <c r="B36" s="196"/>
      <c r="C36" s="196"/>
      <c r="D36" s="196"/>
      <c r="E36" s="430"/>
      <c r="F36" s="197"/>
      <c r="G36" s="217"/>
      <c r="H36" s="198"/>
      <c r="I36" s="197"/>
      <c r="J36" s="197"/>
      <c r="K36" s="198"/>
      <c r="L36" s="217"/>
      <c r="M36" s="202"/>
      <c r="N36" s="233"/>
      <c r="O36" s="234"/>
      <c r="P36" s="234"/>
      <c r="Q36" s="234"/>
      <c r="R36" s="234"/>
      <c r="S36" s="234"/>
      <c r="T36" s="234"/>
    </row>
    <row r="37" spans="1:20" s="180" customFormat="1" ht="14.25" customHeight="1">
      <c r="A37" s="195"/>
      <c r="B37" s="196"/>
      <c r="C37" s="196"/>
      <c r="D37" s="196"/>
      <c r="E37" s="430"/>
      <c r="F37" s="197"/>
      <c r="G37" s="217"/>
      <c r="H37" s="198"/>
      <c r="I37" s="197"/>
      <c r="J37" s="197"/>
      <c r="K37" s="198"/>
      <c r="L37" s="217"/>
      <c r="M37" s="202"/>
      <c r="N37" s="233"/>
      <c r="O37" s="234"/>
      <c r="P37" s="234"/>
      <c r="Q37" s="234"/>
      <c r="R37" s="234"/>
      <c r="S37" s="234"/>
      <c r="T37" s="234"/>
    </row>
    <row r="38" spans="1:20" s="180" customFormat="1" ht="14.25" customHeight="1">
      <c r="A38" s="195"/>
      <c r="B38" s="196"/>
      <c r="C38" s="196"/>
      <c r="D38" s="196"/>
      <c r="E38" s="430"/>
      <c r="F38" s="197"/>
      <c r="G38" s="217"/>
      <c r="H38" s="198"/>
      <c r="I38" s="197"/>
      <c r="J38" s="197"/>
      <c r="K38" s="198"/>
      <c r="L38" s="217"/>
      <c r="M38" s="202"/>
      <c r="N38" s="233"/>
      <c r="O38" s="234"/>
      <c r="P38" s="234"/>
      <c r="Q38" s="234"/>
      <c r="R38" s="234"/>
      <c r="S38" s="234"/>
      <c r="T38" s="234"/>
    </row>
    <row r="39" spans="1:20" s="180" customFormat="1" ht="14.25" customHeight="1">
      <c r="A39" s="195"/>
      <c r="B39" s="196"/>
      <c r="C39" s="196"/>
      <c r="D39" s="196"/>
      <c r="E39" s="430"/>
      <c r="F39" s="197"/>
      <c r="G39" s="217"/>
      <c r="H39" s="198"/>
      <c r="I39" s="197"/>
      <c r="J39" s="197"/>
      <c r="K39" s="198"/>
      <c r="L39" s="217"/>
      <c r="M39" s="202"/>
      <c r="N39" s="233"/>
      <c r="O39" s="234"/>
      <c r="P39" s="234"/>
      <c r="Q39" s="234"/>
      <c r="R39" s="234"/>
      <c r="S39" s="234"/>
      <c r="T39" s="234"/>
    </row>
    <row r="40" spans="1:20" s="180" customFormat="1" ht="14.25" customHeight="1">
      <c r="A40" s="195"/>
      <c r="B40" s="196"/>
      <c r="C40" s="196"/>
      <c r="D40" s="196"/>
      <c r="E40" s="430"/>
      <c r="F40" s="197"/>
      <c r="G40" s="217"/>
      <c r="H40" s="198"/>
      <c r="I40" s="197"/>
      <c r="J40" s="197"/>
      <c r="K40" s="198"/>
      <c r="L40" s="217"/>
      <c r="M40" s="202"/>
      <c r="N40" s="233"/>
      <c r="O40" s="234"/>
      <c r="P40" s="234"/>
      <c r="Q40" s="234"/>
      <c r="R40" s="234"/>
      <c r="S40" s="234"/>
      <c r="T40" s="234"/>
    </row>
    <row r="41" spans="1:20" s="180" customFormat="1" ht="14.25" customHeight="1">
      <c r="A41" s="195"/>
      <c r="B41" s="196"/>
      <c r="C41" s="196"/>
      <c r="D41" s="196"/>
      <c r="E41" s="430"/>
      <c r="F41" s="197"/>
      <c r="G41" s="217"/>
      <c r="H41" s="198"/>
      <c r="I41" s="197"/>
      <c r="J41" s="197"/>
      <c r="K41" s="198"/>
      <c r="L41" s="217"/>
      <c r="M41" s="202"/>
      <c r="N41" s="233"/>
      <c r="O41" s="234"/>
      <c r="P41" s="234"/>
      <c r="Q41" s="234"/>
      <c r="R41" s="234"/>
      <c r="S41" s="234"/>
      <c r="T41" s="234"/>
    </row>
    <row r="42" spans="1:20" s="180" customFormat="1" ht="14.25" customHeight="1">
      <c r="A42" s="195"/>
      <c r="B42" s="196"/>
      <c r="C42" s="196"/>
      <c r="D42" s="196"/>
      <c r="E42" s="430"/>
      <c r="F42" s="197"/>
      <c r="G42" s="217"/>
      <c r="H42" s="198"/>
      <c r="I42" s="197"/>
      <c r="J42" s="197"/>
      <c r="K42" s="198"/>
      <c r="L42" s="217"/>
      <c r="M42" s="202"/>
      <c r="N42" s="233"/>
      <c r="O42" s="234"/>
      <c r="P42" s="234"/>
      <c r="Q42" s="234"/>
      <c r="R42" s="234"/>
      <c r="S42" s="234"/>
      <c r="T42" s="234"/>
    </row>
    <row r="43" spans="4:5" ht="12.75" customHeight="1">
      <c r="D43" s="181"/>
      <c r="E43" s="431"/>
    </row>
    <row r="44" spans="4:5" ht="12.75" customHeight="1">
      <c r="D44" s="181"/>
      <c r="E44" s="431"/>
    </row>
    <row r="45" spans="4:5" ht="12.75" customHeight="1">
      <c r="D45" s="181"/>
      <c r="E45" s="431"/>
    </row>
    <row r="46" spans="4:5" ht="12.75" customHeight="1">
      <c r="D46" s="181"/>
      <c r="E46" s="431"/>
    </row>
    <row r="47" spans="4:5" ht="12.75" customHeight="1">
      <c r="D47" s="181"/>
      <c r="E47" s="431"/>
    </row>
    <row r="48" spans="4:5" ht="12.75" customHeight="1">
      <c r="D48" s="181"/>
      <c r="E48" s="431"/>
    </row>
    <row r="49" spans="4:5" ht="12.75" customHeight="1">
      <c r="D49" s="181"/>
      <c r="E49" s="431"/>
    </row>
    <row r="50" spans="1:11" s="270" customFormat="1" ht="54" customHeight="1" hidden="1">
      <c r="A50" s="429" t="s">
        <v>89</v>
      </c>
      <c r="B50" s="429"/>
      <c r="C50" s="429"/>
      <c r="D50" s="429"/>
      <c r="E50" s="269">
        <f>20-COUNTIF(E12:E31,"")</f>
        <v>16</v>
      </c>
      <c r="G50" s="271"/>
      <c r="H50" s="269"/>
      <c r="J50" s="271"/>
      <c r="K50" s="269">
        <f>COUNTIF(K12:K35,"СК")</f>
        <v>0</v>
      </c>
    </row>
    <row r="51" spans="1:11" s="270" customFormat="1" ht="54" customHeight="1" hidden="1">
      <c r="A51" s="429" t="s">
        <v>121</v>
      </c>
      <c r="B51" s="429"/>
      <c r="C51" s="429"/>
      <c r="D51" s="429"/>
      <c r="E51" s="269">
        <f>4-COUNTIF(E32:E35,"")</f>
        <v>2</v>
      </c>
      <c r="G51" s="271"/>
      <c r="H51" s="269"/>
      <c r="J51" s="271"/>
      <c r="K51" s="269"/>
    </row>
    <row r="52" spans="1:12" s="270" customFormat="1" ht="54" customHeight="1" hidden="1">
      <c r="A52" s="429" t="s">
        <v>122</v>
      </c>
      <c r="B52" s="429"/>
      <c r="C52" s="429"/>
      <c r="D52" s="429"/>
      <c r="E52" s="269">
        <f>24-COUNTIF(E12:E35,"")</f>
        <v>18</v>
      </c>
      <c r="G52" s="271"/>
      <c r="H52" s="269"/>
      <c r="J52" s="271"/>
      <c r="K52" s="269"/>
      <c r="L52" s="381">
        <f>24-COUNTIF(L12:L35,"")</f>
        <v>18</v>
      </c>
    </row>
    <row r="53" spans="4:5" ht="12.75" customHeight="1">
      <c r="D53" s="181"/>
      <c r="E53" s="431"/>
    </row>
    <row r="54" spans="4:5" ht="12.75" customHeight="1">
      <c r="D54" s="181"/>
      <c r="E54" s="431"/>
    </row>
    <row r="55" spans="4:5" ht="12.75" customHeight="1">
      <c r="D55" s="181"/>
      <c r="E55" s="431"/>
    </row>
    <row r="56" spans="4:5" ht="12.75" customHeight="1">
      <c r="D56" s="181"/>
      <c r="E56" s="431"/>
    </row>
    <row r="57" spans="4:5" ht="12.75" customHeight="1">
      <c r="D57" s="181"/>
      <c r="E57" s="431"/>
    </row>
    <row r="58" spans="4:5" ht="12.75" customHeight="1">
      <c r="D58" s="181"/>
      <c r="E58" s="431"/>
    </row>
    <row r="59" spans="4:5" ht="12.75" customHeight="1">
      <c r="D59" s="181"/>
      <c r="E59" s="431"/>
    </row>
    <row r="60" spans="4:5" ht="12.75" customHeight="1">
      <c r="D60" s="181"/>
      <c r="E60" s="431"/>
    </row>
    <row r="61" spans="4:5" ht="12.75" customHeight="1">
      <c r="D61" s="181"/>
      <c r="E61" s="431"/>
    </row>
    <row r="62" spans="4:5" ht="12.75" customHeight="1">
      <c r="D62" s="181"/>
      <c r="E62" s="431"/>
    </row>
    <row r="63" spans="4:5" ht="12.75" customHeight="1">
      <c r="D63" s="181"/>
      <c r="E63" s="431"/>
    </row>
    <row r="64" spans="4:5" ht="12.75" customHeight="1">
      <c r="D64" s="431"/>
      <c r="E64" s="431"/>
    </row>
    <row r="65" spans="4:5" ht="12.75" customHeight="1">
      <c r="D65" s="431"/>
      <c r="E65" s="431"/>
    </row>
    <row r="66" spans="4:5" ht="12.75" customHeight="1">
      <c r="D66" s="431"/>
      <c r="E66" s="431"/>
    </row>
    <row r="67" spans="4:5" ht="12.75" customHeight="1">
      <c r="D67" s="431"/>
      <c r="E67" s="431"/>
    </row>
    <row r="68" spans="4:5" ht="12.75" customHeight="1">
      <c r="D68" s="431"/>
      <c r="E68" s="431"/>
    </row>
    <row r="69" spans="4:5" ht="12.75" customHeight="1">
      <c r="D69" s="431"/>
      <c r="E69" s="431"/>
    </row>
    <row r="70" spans="4:5" ht="12.75" customHeight="1">
      <c r="D70" s="431"/>
      <c r="E70" s="431"/>
    </row>
  </sheetData>
  <sheetProtection sheet="1" objects="1" scenarios="1" selectLockedCells="1"/>
  <mergeCells count="10">
    <mergeCell ref="A10:L10"/>
    <mergeCell ref="A1:D1"/>
    <mergeCell ref="A2:D2"/>
    <mergeCell ref="A3:D3"/>
    <mergeCell ref="A4:D4"/>
    <mergeCell ref="A5:D5"/>
    <mergeCell ref="A6:D6"/>
    <mergeCell ref="A7:D7"/>
    <mergeCell ref="A9:L9"/>
    <mergeCell ref="A8:D8"/>
  </mergeCells>
  <conditionalFormatting sqref="A12:A31 B12:L35">
    <cfRule type="expression" priority="1" dxfId="33" stopIfTrue="1">
      <formula>OR($L12="х",$L12="x")</formula>
    </cfRule>
    <cfRule type="expression" priority="2" dxfId="40" stopIfTrue="1">
      <formula>$L12="ОЭ"</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4.xml><?xml version="1.0" encoding="utf-8"?>
<worksheet xmlns="http://schemas.openxmlformats.org/spreadsheetml/2006/main" xmlns:r="http://schemas.openxmlformats.org/officeDocument/2006/relationships">
  <sheetPr codeName="Лист17">
    <pageSetUpPr fitToPage="1"/>
  </sheetPr>
  <dimension ref="A1:N48"/>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 sqref="A1"/>
    </sheetView>
  </sheetViews>
  <sheetFormatPr defaultColWidth="9.00390625" defaultRowHeight="12.75"/>
  <cols>
    <col min="1" max="1" width="4.625" style="452" bestFit="1" customWidth="1"/>
    <col min="2" max="2" width="12.75390625" style="172" customWidth="1"/>
    <col min="3" max="4" width="25.00390625" style="172" customWidth="1"/>
    <col min="5" max="5" width="18.125" style="172" customWidth="1"/>
    <col min="6" max="6" width="20.875" style="172" customWidth="1"/>
    <col min="7" max="8" width="11.75390625" style="172" customWidth="1"/>
    <col min="9" max="9" width="12.625" style="172" customWidth="1"/>
    <col min="10" max="10" width="11.375" style="172" customWidth="1"/>
    <col min="11" max="11" width="16.625" style="172" customWidth="1"/>
    <col min="12" max="12" width="15.00390625" style="172" customWidth="1"/>
    <col min="13" max="13" width="13.25390625" style="172" customWidth="1"/>
    <col min="14" max="14" width="13.00390625" style="172" customWidth="1"/>
    <col min="15" max="16384" width="9.125" style="172" customWidth="1"/>
  </cols>
  <sheetData>
    <row r="1" spans="1:13" ht="23.25" customHeight="1">
      <c r="A1" s="42"/>
      <c r="B1" s="42"/>
      <c r="C1" s="42"/>
      <c r="D1" s="42"/>
      <c r="E1" s="42"/>
      <c r="F1" s="42"/>
      <c r="G1" s="42"/>
      <c r="H1" s="42"/>
      <c r="I1" s="42"/>
      <c r="J1" s="42"/>
      <c r="K1" s="42"/>
      <c r="M1" s="449"/>
    </row>
    <row r="2" spans="1:14" ht="27" customHeight="1">
      <c r="A2" s="10"/>
      <c r="B2" s="10"/>
      <c r="C2" s="10"/>
      <c r="D2" s="10"/>
      <c r="E2" s="10"/>
      <c r="F2" s="10"/>
      <c r="G2" s="10"/>
      <c r="H2" s="10"/>
      <c r="I2" s="10"/>
      <c r="J2" s="10"/>
      <c r="K2" s="10"/>
      <c r="L2" s="10"/>
      <c r="N2" s="450"/>
    </row>
    <row r="3" spans="1:14" ht="12.75">
      <c r="A3" s="561" t="s">
        <v>136</v>
      </c>
      <c r="B3" s="561"/>
      <c r="C3" s="561"/>
      <c r="D3" s="561"/>
      <c r="E3" s="561"/>
      <c r="F3" s="561"/>
      <c r="G3" s="561"/>
      <c r="H3" s="561"/>
      <c r="I3" s="561"/>
      <c r="J3" s="561"/>
      <c r="K3" s="561"/>
      <c r="L3" s="561"/>
      <c r="M3" s="561"/>
      <c r="N3" s="561"/>
    </row>
    <row r="4" spans="1:14" ht="12.75" customHeight="1">
      <c r="A4" s="561" t="s">
        <v>137</v>
      </c>
      <c r="B4" s="561"/>
      <c r="C4" s="561"/>
      <c r="D4" s="561"/>
      <c r="E4" s="561"/>
      <c r="F4" s="561"/>
      <c r="G4" s="561"/>
      <c r="H4" s="561"/>
      <c r="I4" s="561"/>
      <c r="J4" s="561"/>
      <c r="K4" s="561"/>
      <c r="L4" s="561"/>
      <c r="M4" s="561"/>
      <c r="N4" s="561"/>
    </row>
    <row r="5" spans="1:14" ht="21" customHeight="1">
      <c r="A5" s="559" t="str">
        <f>UPPER(Установка!C3)</f>
        <v>"КУБОК ЮЖНОГО УРАЛА"</v>
      </c>
      <c r="B5" s="559"/>
      <c r="C5" s="559"/>
      <c r="D5" s="559"/>
      <c r="E5" s="559"/>
      <c r="F5" s="559"/>
      <c r="G5" s="559"/>
      <c r="H5" s="559"/>
      <c r="I5" s="559"/>
      <c r="J5" s="559"/>
      <c r="K5" s="559"/>
      <c r="L5" s="559"/>
      <c r="M5" s="559"/>
      <c r="N5" s="559"/>
    </row>
    <row r="6" spans="1:14" ht="12.75" customHeight="1">
      <c r="A6" s="562" t="s">
        <v>3</v>
      </c>
      <c r="B6" s="562"/>
      <c r="C6" s="562"/>
      <c r="D6" s="562"/>
      <c r="E6" s="562"/>
      <c r="F6" s="562"/>
      <c r="G6" s="562"/>
      <c r="H6" s="562"/>
      <c r="I6" s="562"/>
      <c r="J6" s="562"/>
      <c r="K6" s="562"/>
      <c r="L6" s="562"/>
      <c r="M6" s="562"/>
      <c r="N6" s="562"/>
    </row>
    <row r="7" spans="2:14" ht="20.25">
      <c r="B7" s="451"/>
      <c r="C7" s="453" t="s">
        <v>32</v>
      </c>
      <c r="D7" s="563" t="str">
        <f>UPPER(Установка!C4)</f>
        <v>ДО 15 ЛЕТ</v>
      </c>
      <c r="E7" s="563"/>
      <c r="F7" s="451"/>
      <c r="G7" s="451"/>
      <c r="H7" s="451"/>
      <c r="I7" s="451"/>
      <c r="J7" s="451"/>
      <c r="M7" s="550" t="str">
        <f>IF(Установка!$C$5="","Ю/Д/М/Ж",UPPER(Установка!$C$5))</f>
        <v>ЮНОШИ</v>
      </c>
      <c r="N7" s="550"/>
    </row>
    <row r="8" spans="12:13" ht="16.5" customHeight="1">
      <c r="L8" s="454" t="s">
        <v>69</v>
      </c>
      <c r="M8" s="63" t="str">
        <f>Установка!C37</f>
        <v>IV</v>
      </c>
    </row>
    <row r="9" spans="1:13" s="457" customFormat="1" ht="15.75" customHeight="1">
      <c r="A9" s="556" t="s">
        <v>33</v>
      </c>
      <c r="B9" s="556"/>
      <c r="C9" s="448" t="str">
        <f>UPPER(Установка!C6)</f>
        <v>Г.ЧЕЛЯБИНСК</v>
      </c>
      <c r="D9" s="455" t="s">
        <v>34</v>
      </c>
      <c r="E9" s="456" t="str">
        <f>Установка!C7</f>
        <v>30.04.16-06.05.16</v>
      </c>
      <c r="F9" s="169"/>
      <c r="G9" s="169"/>
      <c r="H9" s="169"/>
      <c r="I9" s="169"/>
      <c r="J9" s="169"/>
      <c r="L9" s="458" t="s">
        <v>138</v>
      </c>
      <c r="M9" s="459" t="str">
        <f>Установка!C46</f>
        <v>Б</v>
      </c>
    </row>
    <row r="10" ht="10.5" customHeight="1"/>
    <row r="11" spans="1:14" s="173" customFormat="1" ht="36" customHeight="1">
      <c r="A11" s="171" t="s">
        <v>65</v>
      </c>
      <c r="B11" s="557" t="s">
        <v>139</v>
      </c>
      <c r="C11" s="560"/>
      <c r="D11" s="558"/>
      <c r="E11" s="460" t="s">
        <v>75</v>
      </c>
      <c r="F11" s="171" t="s">
        <v>28</v>
      </c>
      <c r="G11" s="171" t="s">
        <v>36</v>
      </c>
      <c r="H11" s="171" t="s">
        <v>140</v>
      </c>
      <c r="I11" s="171" t="s">
        <v>19</v>
      </c>
      <c r="J11" s="460" t="s">
        <v>141</v>
      </c>
      <c r="K11" s="557" t="s">
        <v>142</v>
      </c>
      <c r="L11" s="558"/>
      <c r="M11" s="171" t="s">
        <v>143</v>
      </c>
      <c r="N11" s="171" t="s">
        <v>144</v>
      </c>
    </row>
    <row r="12" spans="1:14" ht="21" customHeight="1">
      <c r="A12" s="461">
        <v>1</v>
      </c>
      <c r="B12" s="551" t="str">
        <f>'Регистрация ОТ'!E12</f>
        <v>Тихонов Игорь Андреевич</v>
      </c>
      <c r="C12" s="552"/>
      <c r="D12" s="553"/>
      <c r="E12" s="462">
        <f>'Регистрация ОТ'!G12</f>
        <v>37618</v>
      </c>
      <c r="F12" s="463" t="str">
        <f>'Регистрация ОТ'!H12</f>
        <v>Курган</v>
      </c>
      <c r="G12" s="461">
        <f>'Регистрация ОТ'!F12</f>
        <v>27757</v>
      </c>
      <c r="H12" s="463" t="str">
        <f>IF(B12=0,"",'Регистрация ОТ'!I12)</f>
        <v>есть</v>
      </c>
      <c r="I12" s="464">
        <f>'Регистрация ОТ'!D12</f>
        <v>483</v>
      </c>
      <c r="J12" s="465" t="str">
        <f>IF(B12=0,"",CONCATENATE("ОТ ",'Регистрация ОТ'!K12))</f>
        <v>ОТ </v>
      </c>
      <c r="K12" s="548"/>
      <c r="L12" s="549"/>
      <c r="M12" s="536">
        <f>IF(B12=0,"",Установка!$C$14)</f>
        <v>1100</v>
      </c>
      <c r="N12" s="467"/>
    </row>
    <row r="13" spans="1:14" ht="21" customHeight="1">
      <c r="A13" s="461">
        <v>2</v>
      </c>
      <c r="B13" s="551" t="str">
        <f>'Регистрация ОТ'!E13</f>
        <v>Швайцер Денис Александрович</v>
      </c>
      <c r="C13" s="552"/>
      <c r="D13" s="553"/>
      <c r="E13" s="462">
        <f>'Регистрация ОТ'!G13</f>
        <v>37339</v>
      </c>
      <c r="F13" s="463" t="str">
        <f>'Регистрация ОТ'!H13</f>
        <v>Екатеринбург</v>
      </c>
      <c r="G13" s="461">
        <f>'Регистрация ОТ'!F13</f>
        <v>27355</v>
      </c>
      <c r="H13" s="463" t="str">
        <f>IF(B13=0,"",'Регистрация ОТ'!I13)</f>
        <v>есть</v>
      </c>
      <c r="I13" s="464">
        <f>'Регистрация ОТ'!D13</f>
        <v>379</v>
      </c>
      <c r="J13" s="465" t="str">
        <f>IF(B13=0,"",CONCATENATE("ОТ ",'Регистрация ОТ'!K13))</f>
        <v>ОТ </v>
      </c>
      <c r="K13" s="548"/>
      <c r="L13" s="549"/>
      <c r="M13" s="536">
        <f>IF(B13=0,"",Установка!$C$14)</f>
        <v>1100</v>
      </c>
      <c r="N13" s="467"/>
    </row>
    <row r="14" spans="1:14" ht="21" customHeight="1">
      <c r="A14" s="461">
        <v>3</v>
      </c>
      <c r="B14" s="551" t="str">
        <f>'Регистрация ОТ'!E14</f>
        <v>Цвиклич Эрик Томасович</v>
      </c>
      <c r="C14" s="552"/>
      <c r="D14" s="553"/>
      <c r="E14" s="462">
        <f>'Регистрация ОТ'!G14</f>
        <v>37377</v>
      </c>
      <c r="F14" s="463" t="str">
        <f>'Регистрация ОТ'!H14</f>
        <v>Екатеринбург</v>
      </c>
      <c r="G14" s="461">
        <f>'Регистрация ОТ'!F14</f>
        <v>24902</v>
      </c>
      <c r="H14" s="463" t="str">
        <f>IF(B14=0,"",'Регистрация ОТ'!I14)</f>
        <v>есть</v>
      </c>
      <c r="I14" s="464">
        <f>'Регистрация ОТ'!D14</f>
        <v>262</v>
      </c>
      <c r="J14" s="465" t="str">
        <f>IF(B14=0,"",CONCATENATE("ОТ ",'Регистрация ОТ'!K14))</f>
        <v>ОТ </v>
      </c>
      <c r="K14" s="548"/>
      <c r="L14" s="549"/>
      <c r="M14" s="536">
        <f>IF(B14=0,"",Установка!$C$14)</f>
        <v>1100</v>
      </c>
      <c r="N14" s="467"/>
    </row>
    <row r="15" spans="1:14" ht="21" customHeight="1">
      <c r="A15" s="461">
        <v>4</v>
      </c>
      <c r="B15" s="551" t="str">
        <f>'Регистрация ОТ'!E15</f>
        <v>Городилов Максим Вячеславович</v>
      </c>
      <c r="C15" s="552"/>
      <c r="D15" s="553"/>
      <c r="E15" s="462">
        <f>'Регистрация ОТ'!G15</f>
        <v>37264</v>
      </c>
      <c r="F15" s="463" t="str">
        <f>'Регистрация ОТ'!H15</f>
        <v>Челябинск</v>
      </c>
      <c r="G15" s="461">
        <f>'Регистрация ОТ'!F15</f>
        <v>25635</v>
      </c>
      <c r="H15" s="463" t="str">
        <f>IF(B15=0,"",'Регистрация ОТ'!I15)</f>
        <v>есть</v>
      </c>
      <c r="I15" s="464">
        <f>'Регистрация ОТ'!D15</f>
        <v>256</v>
      </c>
      <c r="J15" s="465" t="str">
        <f>IF(B15=0,"",CONCATENATE("ОТ ",'Регистрация ОТ'!K15))</f>
        <v>ОТ </v>
      </c>
      <c r="K15" s="548"/>
      <c r="L15" s="549"/>
      <c r="M15" s="536">
        <f>IF(B15=0,"",Установка!$C$14)</f>
        <v>1100</v>
      </c>
      <c r="N15" s="467"/>
    </row>
    <row r="16" spans="1:14" ht="21" customHeight="1">
      <c r="A16" s="461">
        <v>5</v>
      </c>
      <c r="B16" s="551" t="str">
        <f>'Регистрация ОТ'!E16</f>
        <v>Падерин Никита Евгеньевич</v>
      </c>
      <c r="C16" s="552"/>
      <c r="D16" s="553"/>
      <c r="E16" s="462">
        <f>'Регистрация ОТ'!G16</f>
        <v>37703</v>
      </c>
      <c r="F16" s="463" t="str">
        <f>'Регистрация ОТ'!H16</f>
        <v>Омск</v>
      </c>
      <c r="G16" s="461">
        <f>'Регистрация ОТ'!F16</f>
        <v>28022</v>
      </c>
      <c r="H16" s="463" t="str">
        <f>IF(B16=0,"",'Регистрация ОТ'!I16)</f>
        <v>есть</v>
      </c>
      <c r="I16" s="464">
        <f>'Регистрация ОТ'!D16</f>
        <v>253</v>
      </c>
      <c r="J16" s="465" t="str">
        <f>IF(B16=0,"",CONCATENATE("ОТ ",'Регистрация ОТ'!K16))</f>
        <v>ОТ </v>
      </c>
      <c r="K16" s="548"/>
      <c r="L16" s="549"/>
      <c r="M16" s="536">
        <f>IF(B16=0,"",Установка!$C$14)</f>
        <v>1100</v>
      </c>
      <c r="N16" s="467"/>
    </row>
    <row r="17" spans="1:14" ht="21" customHeight="1">
      <c r="A17" s="461">
        <v>6</v>
      </c>
      <c r="B17" s="551" t="str">
        <f>'Регистрация ОТ'!E17</f>
        <v>Фадеев Петр Евгеньевич</v>
      </c>
      <c r="C17" s="552"/>
      <c r="D17" s="553"/>
      <c r="E17" s="462">
        <f>'Регистрация ОТ'!G17</f>
        <v>37893</v>
      </c>
      <c r="F17" s="463" t="str">
        <f>'Регистрация ОТ'!H17</f>
        <v>Пермь</v>
      </c>
      <c r="G17" s="461">
        <f>'Регистрация ОТ'!F17</f>
        <v>27279</v>
      </c>
      <c r="H17" s="463">
        <f>IF(B17=0,"",'Регистрация ОТ'!I17)</f>
        <v>0</v>
      </c>
      <c r="I17" s="464">
        <f>'Регистрация ОТ'!D17</f>
        <v>249</v>
      </c>
      <c r="J17" s="465" t="str">
        <f>IF(B17=0,"",CONCATENATE("ОТ ",'Регистрация ОТ'!K17))</f>
        <v>ОТ </v>
      </c>
      <c r="K17" s="548"/>
      <c r="L17" s="549"/>
      <c r="M17" s="536">
        <f>IF(B17=0,"",Установка!$C$14)</f>
        <v>1100</v>
      </c>
      <c r="N17" s="467"/>
    </row>
    <row r="18" spans="1:14" ht="21" customHeight="1">
      <c r="A18" s="461">
        <v>7</v>
      </c>
      <c r="B18" s="551" t="str">
        <f>'Регистрация ОТ'!E18</f>
        <v>Сегура-Онищенко Альберт</v>
      </c>
      <c r="C18" s="552"/>
      <c r="D18" s="553"/>
      <c r="E18" s="462">
        <f>'Регистрация ОТ'!G18</f>
        <v>37624</v>
      </c>
      <c r="F18" s="463" t="str">
        <f>'Регистрация ОТ'!H18</f>
        <v>Пермь</v>
      </c>
      <c r="G18" s="461">
        <f>'Регистрация ОТ'!F18</f>
        <v>30971</v>
      </c>
      <c r="H18" s="463" t="str">
        <f>IF(B18=0,"",'Регистрация ОТ'!I18)</f>
        <v>есть</v>
      </c>
      <c r="I18" s="464">
        <f>'Регистрация ОТ'!D18</f>
        <v>217</v>
      </c>
      <c r="J18" s="465" t="str">
        <f>IF(B18=0,"",CONCATENATE("ОТ ",'Регистрация ОТ'!K18))</f>
        <v>ОТ </v>
      </c>
      <c r="K18" s="548"/>
      <c r="L18" s="549"/>
      <c r="M18" s="536">
        <f>IF(B18=0,"",Установка!$C$14)</f>
        <v>1100</v>
      </c>
      <c r="N18" s="467"/>
    </row>
    <row r="19" spans="1:14" ht="21" customHeight="1">
      <c r="A19" s="461">
        <v>8</v>
      </c>
      <c r="B19" s="551" t="str">
        <f>'Регистрация ОТ'!E19</f>
        <v>Антипов Иван Петрович</v>
      </c>
      <c r="C19" s="552"/>
      <c r="D19" s="553"/>
      <c r="E19" s="462">
        <f>'Регистрация ОТ'!G19</f>
        <v>37341</v>
      </c>
      <c r="F19" s="463" t="str">
        <f>'Регистрация ОТ'!H19</f>
        <v>Камнск-Уральский</v>
      </c>
      <c r="G19" s="461">
        <f>'Регистрация ОТ'!F19</f>
        <v>24924</v>
      </c>
      <c r="H19" s="463" t="str">
        <f>IF(B19=0,"",'Регистрация ОТ'!I19)</f>
        <v>есть</v>
      </c>
      <c r="I19" s="464">
        <f>'Регистрация ОТ'!D19</f>
        <v>201</v>
      </c>
      <c r="J19" s="465" t="str">
        <f>IF(B19=0,"",CONCATENATE("ОТ ",'Регистрация ОТ'!K19))</f>
        <v>ОТ </v>
      </c>
      <c r="K19" s="548"/>
      <c r="L19" s="549"/>
      <c r="M19" s="536">
        <f>IF(B19=0,"",Установка!$C$14)</f>
        <v>1100</v>
      </c>
      <c r="N19" s="467"/>
    </row>
    <row r="20" spans="1:14" ht="21" customHeight="1">
      <c r="A20" s="461">
        <v>9</v>
      </c>
      <c r="B20" s="551" t="str">
        <f>'Регистрация ОТ'!E20</f>
        <v>Шайхутдинов Владислав Альбертович</v>
      </c>
      <c r="C20" s="552"/>
      <c r="D20" s="553"/>
      <c r="E20" s="462">
        <f>'Регистрация ОТ'!G20</f>
        <v>38077</v>
      </c>
      <c r="F20" s="463" t="str">
        <f>'Регистрация ОТ'!H20</f>
        <v>Екатеринбург</v>
      </c>
      <c r="G20" s="461">
        <f>'Регистрация ОТ'!F20</f>
        <v>29771</v>
      </c>
      <c r="H20" s="463" t="str">
        <f>IF(B20=0,"",'Регистрация ОТ'!I20)</f>
        <v>есть</v>
      </c>
      <c r="I20" s="464">
        <f>'Регистрация ОТ'!D20</f>
        <v>169</v>
      </c>
      <c r="J20" s="465" t="str">
        <f>IF(B20=0,"",CONCATENATE("ОТ ",'Регистрация ОТ'!K20))</f>
        <v>ОТ </v>
      </c>
      <c r="K20" s="548"/>
      <c r="L20" s="549"/>
      <c r="M20" s="536">
        <f>IF(B20=0,"",Установка!$C$14)</f>
        <v>1100</v>
      </c>
      <c r="N20" s="467"/>
    </row>
    <row r="21" spans="1:14" ht="21" customHeight="1">
      <c r="A21" s="461">
        <v>10</v>
      </c>
      <c r="B21" s="551" t="str">
        <f>'Регистрация ОТ'!E21</f>
        <v>Новиков Никита Антонович</v>
      </c>
      <c r="C21" s="552"/>
      <c r="D21" s="553"/>
      <c r="E21" s="462">
        <f>'Регистрация ОТ'!G21</f>
        <v>37735</v>
      </c>
      <c r="F21" s="463" t="str">
        <f>'Регистрация ОТ'!H21</f>
        <v>Челябинск</v>
      </c>
      <c r="G21" s="461">
        <f>'Регистрация ОТ'!F21</f>
        <v>31352</v>
      </c>
      <c r="H21" s="463" t="str">
        <f>IF(B21=0,"",'Регистрация ОТ'!I21)</f>
        <v>есть</v>
      </c>
      <c r="I21" s="464">
        <f>'Регистрация ОТ'!D21</f>
        <v>166</v>
      </c>
      <c r="J21" s="465" t="str">
        <f>IF(B21=0,"",CONCATENATE("ОТ ",'Регистрация ОТ'!K21))</f>
        <v>ОТ </v>
      </c>
      <c r="K21" s="548"/>
      <c r="L21" s="549"/>
      <c r="M21" s="536">
        <f>IF(B21=0,"",Установка!$C$14)</f>
        <v>1100</v>
      </c>
      <c r="N21" s="467"/>
    </row>
    <row r="22" spans="1:14" ht="21" customHeight="1">
      <c r="A22" s="461">
        <v>11</v>
      </c>
      <c r="B22" s="551" t="str">
        <f>'Регистрация ОТ'!E22</f>
        <v>Юлик Владимир Максимович</v>
      </c>
      <c r="C22" s="552"/>
      <c r="D22" s="553"/>
      <c r="E22" s="462">
        <f>'Регистрация ОТ'!G22</f>
        <v>38127</v>
      </c>
      <c r="F22" s="463" t="str">
        <f>'Регистрация ОТ'!H22</f>
        <v>Челябинск</v>
      </c>
      <c r="G22" s="461">
        <f>'Регистрация ОТ'!F22</f>
        <v>29018</v>
      </c>
      <c r="H22" s="463" t="str">
        <f>IF(B22=0,"",'Регистрация ОТ'!I22)</f>
        <v>есть</v>
      </c>
      <c r="I22" s="464">
        <f>'Регистрация ОТ'!D22</f>
        <v>122</v>
      </c>
      <c r="J22" s="465" t="str">
        <f>IF(B22=0,"",CONCATENATE("ОТ ",'Регистрация ОТ'!K22))</f>
        <v>ОТ </v>
      </c>
      <c r="K22" s="548"/>
      <c r="L22" s="549"/>
      <c r="M22" s="536">
        <f>IF(B22=0,"",Установка!$C$14)</f>
        <v>1100</v>
      </c>
      <c r="N22" s="467"/>
    </row>
    <row r="23" spans="1:14" ht="21" customHeight="1">
      <c r="A23" s="461">
        <v>12</v>
      </c>
      <c r="B23" s="551" t="str">
        <f>'Регистрация ОТ'!E23</f>
        <v>Смирнов Денис Вячеславович</v>
      </c>
      <c r="C23" s="552"/>
      <c r="D23" s="553"/>
      <c r="E23" s="462">
        <f>'Регистрация ОТ'!G23</f>
        <v>38516</v>
      </c>
      <c r="F23" s="463" t="str">
        <f>'Регистрация ОТ'!H23</f>
        <v>Тюмень</v>
      </c>
      <c r="G23" s="461">
        <f>'Регистрация ОТ'!F23</f>
        <v>34003</v>
      </c>
      <c r="H23" s="463" t="str">
        <f>IF(B23=0,"",'Регистрация ОТ'!I23)</f>
        <v>есть</v>
      </c>
      <c r="I23" s="464">
        <f>'Регистрация ОТ'!D23</f>
        <v>65</v>
      </c>
      <c r="J23" s="465" t="str">
        <f>IF(B23=0,"",CONCATENATE("ОТ ",'Регистрация ОТ'!K23))</f>
        <v>ОТ </v>
      </c>
      <c r="K23" s="548"/>
      <c r="L23" s="549"/>
      <c r="M23" s="536">
        <f>IF(B23=0,"",Установка!$C$14)</f>
        <v>1100</v>
      </c>
      <c r="N23" s="467"/>
    </row>
    <row r="24" spans="1:14" ht="21" customHeight="1">
      <c r="A24" s="461">
        <v>13</v>
      </c>
      <c r="B24" s="551" t="str">
        <f>'Регистрация ОТ'!E24</f>
        <v>Козлов Никита Юрьевич</v>
      </c>
      <c r="C24" s="552"/>
      <c r="D24" s="553"/>
      <c r="E24" s="462">
        <f>'Регистрация ОТ'!G24</f>
        <v>38659</v>
      </c>
      <c r="F24" s="463" t="str">
        <f>'Регистрация ОТ'!H24</f>
        <v>Екатеринбург</v>
      </c>
      <c r="G24" s="461">
        <f>'Регистрация ОТ'!F24</f>
        <v>33411</v>
      </c>
      <c r="H24" s="463" t="str">
        <f>IF(B24=0,"",'Регистрация ОТ'!I24)</f>
        <v>есть</v>
      </c>
      <c r="I24" s="464">
        <f>'Регистрация ОТ'!D24</f>
        <v>53</v>
      </c>
      <c r="J24" s="465" t="str">
        <f>IF(B24=0,"",CONCATENATE("ОТ ",'Регистрация ОТ'!K24))</f>
        <v>ОТ </v>
      </c>
      <c r="K24" s="548"/>
      <c r="L24" s="549"/>
      <c r="M24" s="536">
        <f>IF(B24=0,"",Установка!$C$14)</f>
        <v>1100</v>
      </c>
      <c r="N24" s="467"/>
    </row>
    <row r="25" spans="1:14" ht="21" customHeight="1">
      <c r="A25" s="461">
        <v>14</v>
      </c>
      <c r="B25" s="551" t="str">
        <f>'Регистрация ОТ'!E25</f>
        <v>Хлопунов Василий Андреевич</v>
      </c>
      <c r="C25" s="552"/>
      <c r="D25" s="553"/>
      <c r="E25" s="462">
        <f>'Регистрация ОТ'!G25</f>
        <v>37643</v>
      </c>
      <c r="F25" s="463" t="str">
        <f>'Регистрация ОТ'!H25</f>
        <v>Челябинск</v>
      </c>
      <c r="G25" s="461">
        <f>'Регистрация ОТ'!F25</f>
        <v>31320</v>
      </c>
      <c r="H25" s="463" t="str">
        <f>IF(B25=0,"",'Регистрация ОТ'!I25)</f>
        <v>есть</v>
      </c>
      <c r="I25" s="464">
        <f>'Регистрация ОТ'!D25</f>
        <v>48</v>
      </c>
      <c r="J25" s="465" t="str">
        <f>IF(B25=0,"",CONCATENATE("ОТ ",'Регистрация ОТ'!K25))</f>
        <v>ОТ </v>
      </c>
      <c r="K25" s="548"/>
      <c r="L25" s="549"/>
      <c r="M25" s="536">
        <f>IF(B25=0,"",Установка!$C$14)</f>
        <v>1100</v>
      </c>
      <c r="N25" s="467"/>
    </row>
    <row r="26" spans="1:14" ht="21" customHeight="1">
      <c r="A26" s="461">
        <v>15</v>
      </c>
      <c r="B26" s="551" t="str">
        <f>'Регистрация ОТ'!E26</f>
        <v>Борохов Сергей Олегович</v>
      </c>
      <c r="C26" s="552"/>
      <c r="D26" s="553"/>
      <c r="E26" s="462">
        <f>'Регистрация ОТ'!G26</f>
        <v>38114</v>
      </c>
      <c r="F26" s="463" t="str">
        <f>'Регистрация ОТ'!H26</f>
        <v>Челябинск</v>
      </c>
      <c r="G26" s="461">
        <f>'Регистрация ОТ'!F26</f>
        <v>32909</v>
      </c>
      <c r="H26" s="463" t="str">
        <f>IF(B26=0,"",'Регистрация ОТ'!I26)</f>
        <v>есть</v>
      </c>
      <c r="I26" s="464">
        <f>'Регистрация ОТ'!D26</f>
        <v>47</v>
      </c>
      <c r="J26" s="465" t="str">
        <f>IF(B26=0,"",CONCATENATE("ОТ ",'Регистрация ОТ'!K26))</f>
        <v>ОТ </v>
      </c>
      <c r="K26" s="548"/>
      <c r="L26" s="549"/>
      <c r="M26" s="536">
        <f>IF(B26=0,"",Установка!$C$14)</f>
        <v>1100</v>
      </c>
      <c r="N26" s="467"/>
    </row>
    <row r="27" spans="1:14" ht="21" customHeight="1">
      <c r="A27" s="461">
        <v>16</v>
      </c>
      <c r="B27" s="551" t="str">
        <f>'Регистрация ОТ'!E27</f>
        <v>Ермаков Артем Максимивич</v>
      </c>
      <c r="C27" s="552"/>
      <c r="D27" s="553"/>
      <c r="E27" s="462">
        <f>'Регистрация ОТ'!G27</f>
        <v>37818</v>
      </c>
      <c r="F27" s="463" t="str">
        <f>'Регистрация ОТ'!H27</f>
        <v>Челябинск</v>
      </c>
      <c r="G27" s="461">
        <f>'Регистрация ОТ'!F27</f>
        <v>34370</v>
      </c>
      <c r="H27" s="463" t="str">
        <f>IF(B27=0,"",'Регистрация ОТ'!I27)</f>
        <v>есть</v>
      </c>
      <c r="I27" s="464">
        <f>'Регистрация ОТ'!D27</f>
        <v>41</v>
      </c>
      <c r="J27" s="465" t="str">
        <f>IF(B27=0,"",CONCATENATE("ОТ ",'Регистрация ОТ'!K27))</f>
        <v>ОТ </v>
      </c>
      <c r="K27" s="548"/>
      <c r="L27" s="549"/>
      <c r="M27" s="536">
        <f>IF(B27=0,"",Установка!$C$14)</f>
        <v>1100</v>
      </c>
      <c r="N27" s="467"/>
    </row>
    <row r="28" spans="1:14" ht="21" customHeight="1">
      <c r="A28" s="461">
        <v>17</v>
      </c>
      <c r="B28" s="551">
        <f>'Регистрация ОТ'!E28</f>
        <v>0</v>
      </c>
      <c r="C28" s="552"/>
      <c r="D28" s="553"/>
      <c r="E28" s="462">
        <f>'Регистрация ОТ'!G28</f>
        <v>0</v>
      </c>
      <c r="F28" s="463">
        <f>'Регистрация ОТ'!H28</f>
        <v>0</v>
      </c>
      <c r="G28" s="461">
        <f>'Регистрация ОТ'!F28</f>
        <v>0</v>
      </c>
      <c r="H28" s="463">
        <f>IF(B28=0,"",'Регистрация ОТ'!I28)</f>
      </c>
      <c r="I28" s="464">
        <f>'Регистрация ОТ'!D28</f>
        <v>0</v>
      </c>
      <c r="J28" s="465">
        <f>IF(B28=0,"",CONCATENATE("ОТ ",'Регистрация ОТ'!K28))</f>
      </c>
      <c r="K28" s="548"/>
      <c r="L28" s="549"/>
      <c r="M28" s="536">
        <f>IF(B28=0,"",Установка!$C$14)</f>
      </c>
      <c r="N28" s="467"/>
    </row>
    <row r="29" spans="1:14" ht="21" customHeight="1">
      <c r="A29" s="461">
        <v>18</v>
      </c>
      <c r="B29" s="551">
        <f>'Регистрация ОТ'!E29</f>
        <v>0</v>
      </c>
      <c r="C29" s="552"/>
      <c r="D29" s="553"/>
      <c r="E29" s="462">
        <f>'Регистрация ОТ'!G29</f>
        <v>0</v>
      </c>
      <c r="F29" s="463">
        <f>'Регистрация ОТ'!H29</f>
        <v>0</v>
      </c>
      <c r="G29" s="461">
        <f>'Регистрация ОТ'!F29</f>
        <v>0</v>
      </c>
      <c r="H29" s="463">
        <f>IF(B29=0,"",'Регистрация ОТ'!I29)</f>
      </c>
      <c r="I29" s="464">
        <f>'Регистрация ОТ'!D29</f>
        <v>0</v>
      </c>
      <c r="J29" s="465">
        <f>IF(B29=0,"",CONCATENATE("ОТ ",'Регистрация ОТ'!K29))</f>
      </c>
      <c r="K29" s="548"/>
      <c r="L29" s="549"/>
      <c r="M29" s="536">
        <f>IF(B29=0,"",Установка!$C$14)</f>
      </c>
      <c r="N29" s="467"/>
    </row>
    <row r="30" spans="1:14" ht="21" customHeight="1">
      <c r="A30" s="461">
        <v>19</v>
      </c>
      <c r="B30" s="551">
        <f>'Регистрация ОТ'!E30</f>
        <v>0</v>
      </c>
      <c r="C30" s="552"/>
      <c r="D30" s="553"/>
      <c r="E30" s="462">
        <f>'Регистрация ОТ'!G30</f>
        <v>0</v>
      </c>
      <c r="F30" s="463">
        <f>'Регистрация ОТ'!H30</f>
        <v>0</v>
      </c>
      <c r="G30" s="461">
        <f>'Регистрация ОТ'!F30</f>
        <v>0</v>
      </c>
      <c r="H30" s="463">
        <f>IF(B30=0,"",'Регистрация ОТ'!I30)</f>
      </c>
      <c r="I30" s="464">
        <f>'Регистрация ОТ'!D30</f>
        <v>0</v>
      </c>
      <c r="J30" s="465">
        <f>IF(B30=0,"",CONCATENATE("ОТ ",'Регистрация ОТ'!K30))</f>
      </c>
      <c r="K30" s="548"/>
      <c r="L30" s="549"/>
      <c r="M30" s="536">
        <f>IF(B30=0,"",Установка!$C$14)</f>
      </c>
      <c r="N30" s="467"/>
    </row>
    <row r="31" spans="1:14" ht="21" customHeight="1">
      <c r="A31" s="461">
        <v>20</v>
      </c>
      <c r="B31" s="551">
        <f>'Регистрация ОТ'!E31</f>
        <v>0</v>
      </c>
      <c r="C31" s="552"/>
      <c r="D31" s="553"/>
      <c r="E31" s="462">
        <f>'Регистрация ОТ'!G31</f>
        <v>0</v>
      </c>
      <c r="F31" s="463">
        <f>'Регистрация ОТ'!H31</f>
        <v>0</v>
      </c>
      <c r="G31" s="461">
        <f>'Регистрация ОТ'!F31</f>
        <v>0</v>
      </c>
      <c r="H31" s="463">
        <f>IF(B31=0,"",'Регистрация ОТ'!I31)</f>
      </c>
      <c r="I31" s="464">
        <f>'Регистрация ОТ'!D31</f>
        <v>0</v>
      </c>
      <c r="J31" s="465">
        <f>IF(B31=0,"",CONCATENATE("ОТ ",'Регистрация ОТ'!K31))</f>
      </c>
      <c r="K31" s="548"/>
      <c r="L31" s="549"/>
      <c r="M31" s="536">
        <f>IF(B31=0,"",Установка!$C$14)</f>
      </c>
      <c r="N31" s="467"/>
    </row>
    <row r="32" spans="1:14" ht="21" customHeight="1">
      <c r="A32" s="461">
        <v>21</v>
      </c>
      <c r="B32" s="551" t="str">
        <f>'Регистрация ОТ'!E32</f>
        <v>Потапов Никита Олегович</v>
      </c>
      <c r="C32" s="552"/>
      <c r="D32" s="553"/>
      <c r="E32" s="462">
        <f>'Регистрация ОТ'!G32</f>
        <v>38614</v>
      </c>
      <c r="F32" s="463" t="str">
        <f>'Регистрация ОТ'!H32</f>
        <v>Челябинск</v>
      </c>
      <c r="G32" s="461">
        <f>'Регистрация ОТ'!F32</f>
        <v>34911</v>
      </c>
      <c r="H32" s="463" t="str">
        <f>IF(B32=0,"",'Регистрация ОТ'!I32)</f>
        <v>есть</v>
      </c>
      <c r="I32" s="464">
        <f>'Регистрация ОТ'!D32</f>
        <v>12</v>
      </c>
      <c r="J32" s="465" t="str">
        <f>IF(B32=0,"",CONCATENATE("ОТ ",'Регистрация ОТ'!K32))</f>
        <v>ОТ </v>
      </c>
      <c r="K32" s="548"/>
      <c r="L32" s="549"/>
      <c r="M32" s="536">
        <f>IF(B32=0,"",Установка!$C$14)</f>
        <v>1100</v>
      </c>
      <c r="N32" s="467"/>
    </row>
    <row r="33" spans="1:14" ht="21" customHeight="1">
      <c r="A33" s="461">
        <v>22</v>
      </c>
      <c r="B33" s="551" t="str">
        <f>'Регистрация ОТ'!E33</f>
        <v>Юрков Даниил Игоревич</v>
      </c>
      <c r="C33" s="552"/>
      <c r="D33" s="553"/>
      <c r="E33" s="462">
        <f>'Регистрация ОТ'!G33</f>
        <v>38263</v>
      </c>
      <c r="F33" s="463" t="str">
        <f>'Регистрация ОТ'!H33</f>
        <v>Челябинск</v>
      </c>
      <c r="G33" s="461">
        <f>'Регистрация ОТ'!F33</f>
        <v>35241</v>
      </c>
      <c r="H33" s="463">
        <f>IF(B33=0,"",'Регистрация ОТ'!I33)</f>
        <v>0</v>
      </c>
      <c r="I33" s="464">
        <f>'Регистрация ОТ'!D33</f>
        <v>6</v>
      </c>
      <c r="J33" s="465" t="str">
        <f>IF(B33=0,"",CONCATENATE("ОТ ",'Регистрация ОТ'!K33))</f>
        <v>ОТ </v>
      </c>
      <c r="K33" s="548"/>
      <c r="L33" s="549"/>
      <c r="M33" s="536">
        <f>IF(B33=0,"",Установка!$C$14)</f>
        <v>1100</v>
      </c>
      <c r="N33" s="467"/>
    </row>
    <row r="34" spans="1:14" ht="21" customHeight="1">
      <c r="A34" s="461">
        <v>23</v>
      </c>
      <c r="B34" s="551">
        <f>'Регистрация ОТ'!E34</f>
        <v>0</v>
      </c>
      <c r="C34" s="552"/>
      <c r="D34" s="553"/>
      <c r="E34" s="462">
        <f>'Регистрация ОТ'!G34</f>
        <v>0</v>
      </c>
      <c r="F34" s="463">
        <f>'Регистрация ОТ'!H34</f>
        <v>0</v>
      </c>
      <c r="G34" s="461">
        <f>'Регистрация ОТ'!F34</f>
        <v>0</v>
      </c>
      <c r="H34" s="463">
        <f>IF(B34=0,"",'Регистрация ОТ'!I34)</f>
      </c>
      <c r="I34" s="464">
        <f>'Регистрация ОТ'!D34</f>
        <v>0</v>
      </c>
      <c r="J34" s="465">
        <f>IF(B34=0,"",CONCATENATE("ОТ ",'Регистрация ОТ'!K34))</f>
      </c>
      <c r="K34" s="548"/>
      <c r="L34" s="549"/>
      <c r="M34" s="536">
        <f>IF(B34=0,"",Установка!$C$14)</f>
      </c>
      <c r="N34" s="467"/>
    </row>
    <row r="35" spans="1:14" ht="21" customHeight="1">
      <c r="A35" s="461">
        <v>24</v>
      </c>
      <c r="B35" s="551">
        <f>'Регистрация ОТ'!E35</f>
        <v>0</v>
      </c>
      <c r="C35" s="552"/>
      <c r="D35" s="553"/>
      <c r="E35" s="462">
        <f>'Регистрация ОТ'!G35</f>
        <v>0</v>
      </c>
      <c r="F35" s="463">
        <f>'Регистрация ОТ'!H35</f>
        <v>0</v>
      </c>
      <c r="G35" s="461">
        <f>'Регистрация ОТ'!F35</f>
        <v>0</v>
      </c>
      <c r="H35" s="463">
        <f>IF(B35=0,"",'Регистрация ОТ'!I35)</f>
      </c>
      <c r="I35" s="464">
        <f>'Регистрация ОТ'!D35</f>
        <v>0</v>
      </c>
      <c r="J35" s="465">
        <f>IF(B35=0,"",CONCATENATE("ОТ ",'Регистрация ОТ'!K35))</f>
      </c>
      <c r="K35" s="548"/>
      <c r="L35" s="549"/>
      <c r="M35" s="536">
        <f>IF(B35=0,"",Установка!$C$14)</f>
      </c>
      <c r="N35" s="467"/>
    </row>
    <row r="36" spans="1:14" ht="21" customHeight="1" hidden="1">
      <c r="A36" s="461">
        <v>25</v>
      </c>
      <c r="B36" s="551"/>
      <c r="C36" s="552"/>
      <c r="D36" s="553"/>
      <c r="E36" s="468"/>
      <c r="F36" s="463"/>
      <c r="G36" s="461"/>
      <c r="H36" s="463"/>
      <c r="I36" s="464"/>
      <c r="J36" s="465"/>
      <c r="K36" s="548"/>
      <c r="L36" s="549"/>
      <c r="M36" s="466"/>
      <c r="N36" s="467"/>
    </row>
    <row r="37" spans="1:14" ht="21" customHeight="1" hidden="1">
      <c r="A37" s="461">
        <v>26</v>
      </c>
      <c r="B37" s="551"/>
      <c r="C37" s="552"/>
      <c r="D37" s="553"/>
      <c r="E37" s="468"/>
      <c r="F37" s="463"/>
      <c r="G37" s="461"/>
      <c r="H37" s="463"/>
      <c r="I37" s="464"/>
      <c r="J37" s="465"/>
      <c r="K37" s="548"/>
      <c r="L37" s="549"/>
      <c r="M37" s="466"/>
      <c r="N37" s="467"/>
    </row>
    <row r="38" spans="1:14" ht="21" customHeight="1" hidden="1">
      <c r="A38" s="461">
        <v>27</v>
      </c>
      <c r="B38" s="551"/>
      <c r="C38" s="552"/>
      <c r="D38" s="553"/>
      <c r="E38" s="468"/>
      <c r="F38" s="463"/>
      <c r="G38" s="461"/>
      <c r="H38" s="463"/>
      <c r="I38" s="464"/>
      <c r="J38" s="465"/>
      <c r="K38" s="548"/>
      <c r="L38" s="549"/>
      <c r="M38" s="466"/>
      <c r="N38" s="467"/>
    </row>
    <row r="39" spans="1:14" ht="21" customHeight="1" hidden="1">
      <c r="A39" s="461">
        <v>28</v>
      </c>
      <c r="B39" s="551"/>
      <c r="C39" s="552"/>
      <c r="D39" s="553"/>
      <c r="E39" s="468"/>
      <c r="F39" s="463"/>
      <c r="G39" s="461"/>
      <c r="H39" s="463"/>
      <c r="I39" s="464"/>
      <c r="J39" s="465"/>
      <c r="K39" s="548"/>
      <c r="L39" s="549"/>
      <c r="M39" s="466"/>
      <c r="N39" s="467"/>
    </row>
    <row r="40" spans="1:14" ht="21" customHeight="1" hidden="1">
      <c r="A40" s="461">
        <v>29</v>
      </c>
      <c r="B40" s="551"/>
      <c r="C40" s="552"/>
      <c r="D40" s="553"/>
      <c r="E40" s="468"/>
      <c r="F40" s="463"/>
      <c r="G40" s="461"/>
      <c r="H40" s="463"/>
      <c r="I40" s="464"/>
      <c r="J40" s="465"/>
      <c r="K40" s="548"/>
      <c r="L40" s="549"/>
      <c r="M40" s="466"/>
      <c r="N40" s="467"/>
    </row>
    <row r="41" spans="1:14" ht="21" customHeight="1" hidden="1">
      <c r="A41" s="461">
        <v>30</v>
      </c>
      <c r="B41" s="551"/>
      <c r="C41" s="552"/>
      <c r="D41" s="553"/>
      <c r="E41" s="468"/>
      <c r="F41" s="463"/>
      <c r="G41" s="461"/>
      <c r="H41" s="463"/>
      <c r="I41" s="464"/>
      <c r="J41" s="465"/>
      <c r="K41" s="548"/>
      <c r="L41" s="549"/>
      <c r="M41" s="466"/>
      <c r="N41" s="467"/>
    </row>
    <row r="42" spans="1:14" ht="21" customHeight="1" hidden="1">
      <c r="A42" s="461">
        <v>31</v>
      </c>
      <c r="B42" s="551"/>
      <c r="C42" s="552"/>
      <c r="D42" s="553"/>
      <c r="E42" s="468"/>
      <c r="F42" s="463"/>
      <c r="G42" s="461"/>
      <c r="H42" s="463"/>
      <c r="I42" s="464"/>
      <c r="J42" s="465"/>
      <c r="K42" s="548"/>
      <c r="L42" s="549"/>
      <c r="M42" s="466"/>
      <c r="N42" s="467"/>
    </row>
    <row r="43" spans="1:14" ht="21" customHeight="1" hidden="1">
      <c r="A43" s="461">
        <v>32</v>
      </c>
      <c r="B43" s="551"/>
      <c r="C43" s="552"/>
      <c r="D43" s="553"/>
      <c r="E43" s="468"/>
      <c r="F43" s="463"/>
      <c r="G43" s="461"/>
      <c r="H43" s="463"/>
      <c r="I43" s="464"/>
      <c r="J43" s="465"/>
      <c r="K43" s="548"/>
      <c r="L43" s="549"/>
      <c r="M43" s="466"/>
      <c r="N43" s="467"/>
    </row>
    <row r="44" ht="7.5" customHeight="1"/>
    <row r="45" spans="1:12" s="6" customFormat="1" ht="15" customHeight="1">
      <c r="A45" s="46"/>
      <c r="C45" s="7"/>
      <c r="D45" s="60" t="s">
        <v>145</v>
      </c>
      <c r="E45" s="542"/>
      <c r="F45" s="542"/>
      <c r="G45" s="542"/>
      <c r="H45" s="542"/>
      <c r="I45" s="542"/>
      <c r="J45" s="542"/>
      <c r="K45" s="542"/>
      <c r="L45" s="2"/>
    </row>
    <row r="46" spans="1:12" s="6" customFormat="1" ht="10.5" customHeight="1">
      <c r="A46" s="46"/>
      <c r="C46" s="469"/>
      <c r="E46" s="554" t="s">
        <v>53</v>
      </c>
      <c r="F46" s="554"/>
      <c r="G46" s="554"/>
      <c r="H46" s="554"/>
      <c r="I46" s="554"/>
      <c r="J46" s="554"/>
      <c r="K46" s="554"/>
      <c r="L46" s="470"/>
    </row>
    <row r="47" spans="3:11" ht="15" customHeight="1">
      <c r="C47" s="174"/>
      <c r="D47" s="60" t="s">
        <v>2</v>
      </c>
      <c r="E47" s="555"/>
      <c r="F47" s="555"/>
      <c r="G47" s="471"/>
      <c r="H47" s="471"/>
      <c r="I47" s="471"/>
      <c r="J47" s="471"/>
      <c r="K47" s="472" t="str">
        <f>UPPER(Установка!C11)</f>
        <v>ЗЕЛИНГЕР М.М.</v>
      </c>
    </row>
    <row r="48" spans="3:11" ht="15" customHeight="1">
      <c r="C48" s="469"/>
      <c r="D48" s="469"/>
      <c r="E48" s="554" t="s">
        <v>146</v>
      </c>
      <c r="F48" s="554"/>
      <c r="G48" s="554"/>
      <c r="H48" s="554"/>
      <c r="I48" s="554"/>
      <c r="J48" s="554"/>
      <c r="K48" s="554"/>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sheetData>
  <sheetProtection sheet="1" objects="1" scenarios="1" selectLockedCells="1"/>
  <mergeCells count="77">
    <mergeCell ref="A5:N5"/>
    <mergeCell ref="B11:D11"/>
    <mergeCell ref="A3:N3"/>
    <mergeCell ref="A4:N4"/>
    <mergeCell ref="A6:N6"/>
    <mergeCell ref="D7:E7"/>
    <mergeCell ref="B13:D13"/>
    <mergeCell ref="B14:D14"/>
    <mergeCell ref="B15:D15"/>
    <mergeCell ref="K12:L12"/>
    <mergeCell ref="B12:D12"/>
    <mergeCell ref="A9:B9"/>
    <mergeCell ref="K11:L11"/>
    <mergeCell ref="B19:D19"/>
    <mergeCell ref="B23:D23"/>
    <mergeCell ref="B16:D16"/>
    <mergeCell ref="B20:D20"/>
    <mergeCell ref="B21:D21"/>
    <mergeCell ref="B22:D22"/>
    <mergeCell ref="B17:D17"/>
    <mergeCell ref="B18:D18"/>
    <mergeCell ref="B32:D32"/>
    <mergeCell ref="B27:D27"/>
    <mergeCell ref="B28:D28"/>
    <mergeCell ref="B29:D29"/>
    <mergeCell ref="B30:D30"/>
    <mergeCell ref="B33:D33"/>
    <mergeCell ref="E48:K48"/>
    <mergeCell ref="B39:D39"/>
    <mergeCell ref="B40:D40"/>
    <mergeCell ref="B41:D41"/>
    <mergeCell ref="B42:D42"/>
    <mergeCell ref="B43:D43"/>
    <mergeCell ref="E45:K45"/>
    <mergeCell ref="E46:K46"/>
    <mergeCell ref="K40:L40"/>
    <mergeCell ref="E47:F47"/>
    <mergeCell ref="K32:L32"/>
    <mergeCell ref="K17:L17"/>
    <mergeCell ref="B36:D36"/>
    <mergeCell ref="B37:D37"/>
    <mergeCell ref="B38:D38"/>
    <mergeCell ref="K39:L39"/>
    <mergeCell ref="B24:D24"/>
    <mergeCell ref="B25:D25"/>
    <mergeCell ref="B26:D26"/>
    <mergeCell ref="B35:D35"/>
    <mergeCell ref="K27:L27"/>
    <mergeCell ref="K28:L28"/>
    <mergeCell ref="B34:D34"/>
    <mergeCell ref="B31:D31"/>
    <mergeCell ref="K24:L24"/>
    <mergeCell ref="K13:L13"/>
    <mergeCell ref="K14:L14"/>
    <mergeCell ref="K15:L15"/>
    <mergeCell ref="K16:L16"/>
    <mergeCell ref="K34:L34"/>
    <mergeCell ref="K33:L33"/>
    <mergeCell ref="M7:N7"/>
    <mergeCell ref="K31:L31"/>
    <mergeCell ref="K18:L18"/>
    <mergeCell ref="K19:L19"/>
    <mergeCell ref="K20:L20"/>
    <mergeCell ref="K21:L21"/>
    <mergeCell ref="K22:L22"/>
    <mergeCell ref="K23:L23"/>
    <mergeCell ref="K26:L26"/>
    <mergeCell ref="K35:L35"/>
    <mergeCell ref="K25:L25"/>
    <mergeCell ref="K41:L41"/>
    <mergeCell ref="K42:L42"/>
    <mergeCell ref="K43:L43"/>
    <mergeCell ref="K36:L36"/>
    <mergeCell ref="K37:L37"/>
    <mergeCell ref="K38:L38"/>
    <mergeCell ref="K29:L29"/>
    <mergeCell ref="K30:L30"/>
  </mergeCells>
  <printOptions horizontalCentered="1"/>
  <pageMargins left="0.15748031496062992" right="0.15748031496062992" top="0.15748031496062992" bottom="0.5" header="0.15748031496062992" footer="0.15"/>
  <pageSetup fitToHeight="2" fitToWidth="1" horizontalDpi="600" verticalDpi="600" orientation="landscape" paperSize="9" scale="69" r:id="rId3"/>
  <headerFooter alignWithMargins="0">
    <oddFooter>&amp;CСтраница &amp;P из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T66"/>
  <sheetViews>
    <sheetView showGridLines="0" showRowColHeaders="0" showOutlineSymbols="0" zoomScale="85" zoomScaleNormal="85" zoomScaleSheetLayoutView="100" zoomScalePageLayoutView="0" workbookViewId="0" topLeftCell="A1">
      <pane ySplit="11" topLeftCell="A12" activePane="bottomLeft" state="frozen"/>
      <selection pane="topLeft" activeCell="A5" sqref="A5:R5"/>
      <selection pane="bottomLeft" activeCell="C12" sqref="C12"/>
    </sheetView>
  </sheetViews>
  <sheetFormatPr defaultColWidth="9.00390625" defaultRowHeight="12.75" customHeight="1"/>
  <cols>
    <col min="1" max="1" width="4.75390625" style="192" customWidth="1"/>
    <col min="2" max="2" width="4.75390625" style="181" customWidth="1"/>
    <col min="3" max="3" width="7.875" style="181" customWidth="1"/>
    <col min="4" max="4" width="13.75390625" style="176" customWidth="1"/>
    <col min="5" max="5" width="42.625" style="176" customWidth="1"/>
    <col min="6" max="6" width="6.75390625" style="176" customWidth="1"/>
    <col min="7" max="7" width="10.125" style="216" customWidth="1"/>
    <col min="8" max="8" width="16.00390625" style="182" bestFit="1" customWidth="1"/>
    <col min="9" max="9" width="6.875" style="176" customWidth="1"/>
    <col min="10" max="10" width="9.625" style="216" customWidth="1"/>
    <col min="11" max="11" width="11.375" style="182" customWidth="1"/>
    <col min="12" max="12" width="11.625" style="176" customWidth="1"/>
    <col min="13" max="13" width="11.00390625" style="289" hidden="1" customWidth="1"/>
    <col min="14" max="14" width="12.125" style="187" hidden="1" customWidth="1"/>
    <col min="15" max="15" width="9.125" style="187" hidden="1" customWidth="1"/>
    <col min="16" max="20" width="9.125" style="180" customWidth="1"/>
    <col min="21" max="16384" width="9.125" style="176" customWidth="1"/>
  </cols>
  <sheetData>
    <row r="1" spans="1:15" ht="10.5" customHeight="1">
      <c r="A1" s="547" t="s">
        <v>68</v>
      </c>
      <c r="B1" s="547"/>
      <c r="C1" s="547"/>
      <c r="D1" s="547"/>
      <c r="E1" s="313" t="str">
        <f>UPPER(Установка!C3)</f>
        <v>"КУБОК ЮЖНОГО УРАЛА"</v>
      </c>
      <c r="F1" s="175"/>
      <c r="G1" s="218"/>
      <c r="H1" s="184"/>
      <c r="I1" s="175"/>
      <c r="J1" s="176"/>
      <c r="L1" s="216"/>
      <c r="M1" s="201"/>
      <c r="N1" s="231"/>
      <c r="O1" s="232"/>
    </row>
    <row r="2" spans="1:15" ht="10.5" customHeight="1">
      <c r="A2" s="547" t="s">
        <v>34</v>
      </c>
      <c r="B2" s="547"/>
      <c r="C2" s="547"/>
      <c r="D2" s="547"/>
      <c r="E2" s="313" t="str">
        <f>IF(Установка!C7="","",Установка!C7)</f>
        <v>30.04.16-06.05.16</v>
      </c>
      <c r="F2" s="177"/>
      <c r="G2" s="219"/>
      <c r="H2" s="185"/>
      <c r="J2" s="176"/>
      <c r="L2" s="216"/>
      <c r="M2" s="201"/>
      <c r="N2" s="231"/>
      <c r="O2" s="232"/>
    </row>
    <row r="3" spans="1:15" ht="10.5" customHeight="1">
      <c r="A3" s="547" t="s">
        <v>33</v>
      </c>
      <c r="B3" s="547"/>
      <c r="C3" s="547"/>
      <c r="D3" s="547"/>
      <c r="E3" s="314" t="str">
        <f>UPPER(Установка!C6)</f>
        <v>Г.ЧЕЛЯБИНСК</v>
      </c>
      <c r="F3" s="178"/>
      <c r="G3" s="179"/>
      <c r="H3" s="186"/>
      <c r="J3" s="176"/>
      <c r="L3" s="216"/>
      <c r="M3" s="201"/>
      <c r="N3" s="231"/>
      <c r="O3" s="232"/>
    </row>
    <row r="4" spans="1:15" ht="10.5" customHeight="1">
      <c r="A4" s="547" t="s">
        <v>69</v>
      </c>
      <c r="B4" s="547"/>
      <c r="C4" s="547"/>
      <c r="D4" s="547"/>
      <c r="E4" s="314" t="str">
        <f>UPPER(Установка!C8)</f>
        <v>IVБ</v>
      </c>
      <c r="J4" s="176"/>
      <c r="L4" s="216"/>
      <c r="M4" s="201"/>
      <c r="N4" s="231"/>
      <c r="O4" s="232"/>
    </row>
    <row r="5" spans="1:15" ht="10.5" customHeight="1">
      <c r="A5" s="547" t="s">
        <v>50</v>
      </c>
      <c r="B5" s="547"/>
      <c r="C5" s="547"/>
      <c r="D5" s="547"/>
      <c r="E5" s="314" t="str">
        <f>UPPER(Установка!C4)</f>
        <v>ДО 15 ЛЕТ</v>
      </c>
      <c r="J5" s="176"/>
      <c r="L5" s="216"/>
      <c r="M5" s="201"/>
      <c r="N5" s="231"/>
      <c r="O5" s="232"/>
    </row>
    <row r="6" spans="1:15" ht="10.5" customHeight="1">
      <c r="A6" s="547" t="s">
        <v>70</v>
      </c>
      <c r="B6" s="547"/>
      <c r="C6" s="547"/>
      <c r="D6" s="547"/>
      <c r="E6" s="314" t="str">
        <f>UPPER(Установка!C5)</f>
        <v>ЮНОШИ</v>
      </c>
      <c r="J6" s="176"/>
      <c r="L6" s="216"/>
      <c r="M6" s="201"/>
      <c r="N6" s="231"/>
      <c r="O6" s="232"/>
    </row>
    <row r="7" spans="1:15" ht="10.5" customHeight="1">
      <c r="A7" s="547" t="s">
        <v>71</v>
      </c>
      <c r="B7" s="547"/>
      <c r="C7" s="547"/>
      <c r="D7" s="547"/>
      <c r="E7" s="315">
        <f>IF(Установка!C9="","",Установка!C9)</f>
        <v>42478</v>
      </c>
      <c r="J7" s="176"/>
      <c r="L7" s="216"/>
      <c r="M7" s="201"/>
      <c r="N7" s="231"/>
      <c r="O7" s="232"/>
    </row>
    <row r="8" spans="1:15" ht="10.5" customHeight="1">
      <c r="A8" s="547" t="s">
        <v>72</v>
      </c>
      <c r="B8" s="547"/>
      <c r="C8" s="547"/>
      <c r="D8" s="547"/>
      <c r="E8" s="316">
        <f>IF(Установка!C10="","",Установка!C10)</f>
        <v>42461</v>
      </c>
      <c r="F8" s="187"/>
      <c r="G8" s="188"/>
      <c r="H8" s="189"/>
      <c r="I8" s="187"/>
      <c r="J8" s="187"/>
      <c r="K8" s="189"/>
      <c r="L8" s="188"/>
      <c r="M8" s="201"/>
      <c r="N8" s="231"/>
      <c r="O8" s="232"/>
    </row>
    <row r="9" spans="1:15" ht="15">
      <c r="A9" s="546" t="s">
        <v>77</v>
      </c>
      <c r="B9" s="546"/>
      <c r="C9" s="546"/>
      <c r="D9" s="546"/>
      <c r="E9" s="546"/>
      <c r="F9" s="546"/>
      <c r="G9" s="546"/>
      <c r="H9" s="546"/>
      <c r="I9" s="546"/>
      <c r="J9" s="546"/>
      <c r="K9" s="546"/>
      <c r="L9" s="546"/>
      <c r="M9" s="300" t="s">
        <v>90</v>
      </c>
      <c r="N9" s="300" t="s">
        <v>91</v>
      </c>
      <c r="O9" s="300" t="s">
        <v>92</v>
      </c>
    </row>
    <row r="10" spans="1:20" s="299" customFormat="1" ht="42" customHeight="1">
      <c r="A10" s="293"/>
      <c r="B10" s="294"/>
      <c r="C10" s="294"/>
      <c r="D10" s="295"/>
      <c r="E10" s="295"/>
      <c r="F10" s="295"/>
      <c r="G10" s="296"/>
      <c r="H10" s="297"/>
      <c r="I10" s="295"/>
      <c r="J10" s="296"/>
      <c r="K10" s="297"/>
      <c r="L10" s="295"/>
      <c r="M10" s="298"/>
      <c r="N10" s="298">
        <v>0</v>
      </c>
      <c r="O10" s="298">
        <v>0</v>
      </c>
      <c r="P10" s="392"/>
      <c r="Q10" s="392"/>
      <c r="R10" s="392"/>
      <c r="S10" s="392"/>
      <c r="T10" s="392"/>
    </row>
    <row r="11" spans="1:20" s="183" customFormat="1" ht="38.25">
      <c r="A11" s="386"/>
      <c r="B11" s="387" t="s">
        <v>17</v>
      </c>
      <c r="C11" s="387" t="s">
        <v>73</v>
      </c>
      <c r="D11" s="387" t="s">
        <v>120</v>
      </c>
      <c r="E11" s="387" t="s">
        <v>74</v>
      </c>
      <c r="F11" s="387" t="s">
        <v>63</v>
      </c>
      <c r="G11" s="388" t="s">
        <v>75</v>
      </c>
      <c r="H11" s="389" t="s">
        <v>28</v>
      </c>
      <c r="I11" s="387" t="s">
        <v>76</v>
      </c>
      <c r="J11" s="388" t="s">
        <v>79</v>
      </c>
      <c r="K11" s="389" t="s">
        <v>81</v>
      </c>
      <c r="L11" s="390" t="s">
        <v>80</v>
      </c>
      <c r="M11" s="290" t="s">
        <v>59</v>
      </c>
      <c r="N11" s="385"/>
      <c r="O11" s="385"/>
      <c r="P11" s="391"/>
      <c r="Q11" s="391"/>
      <c r="R11" s="391"/>
      <c r="S11" s="391"/>
      <c r="T11" s="391"/>
    </row>
    <row r="12" spans="1:15" s="191" customFormat="1" ht="25.5" customHeight="1">
      <c r="A12" s="193"/>
      <c r="B12" s="194">
        <f aca="true" t="shared" si="0" ref="B12:B43">ROW()-11</f>
        <v>1</v>
      </c>
      <c r="C12" s="373"/>
      <c r="D12" s="373"/>
      <c r="E12" s="204"/>
      <c r="F12" s="205"/>
      <c r="G12" s="206"/>
      <c r="H12" s="204"/>
      <c r="I12" s="205"/>
      <c r="J12" s="206"/>
      <c r="K12" s="205"/>
      <c r="L12" s="207"/>
      <c r="M12" s="291">
        <f aca="true" t="shared" si="1" ref="M12:M43">IF(ISBLANK(E12),2,IF(ISBLANK(J12),0,1))</f>
        <v>2</v>
      </c>
      <c r="N12" s="190"/>
      <c r="O12" s="190"/>
    </row>
    <row r="13" spans="1:15" s="191" customFormat="1" ht="25.5" customHeight="1">
      <c r="A13" s="193"/>
      <c r="B13" s="194">
        <f t="shared" si="0"/>
        <v>2</v>
      </c>
      <c r="C13" s="373"/>
      <c r="D13" s="373"/>
      <c r="E13" s="204"/>
      <c r="F13" s="205"/>
      <c r="G13" s="206"/>
      <c r="H13" s="204"/>
      <c r="I13" s="205"/>
      <c r="J13" s="206"/>
      <c r="K13" s="205"/>
      <c r="L13" s="207"/>
      <c r="M13" s="291">
        <f t="shared" si="1"/>
        <v>2</v>
      </c>
      <c r="N13" s="190"/>
      <c r="O13" s="190"/>
    </row>
    <row r="14" spans="1:15" s="191" customFormat="1" ht="25.5" customHeight="1">
      <c r="A14" s="199"/>
      <c r="B14" s="200">
        <f t="shared" si="0"/>
        <v>3</v>
      </c>
      <c r="C14" s="374"/>
      <c r="D14" s="374"/>
      <c r="E14" s="208"/>
      <c r="F14" s="209"/>
      <c r="G14" s="210"/>
      <c r="H14" s="208"/>
      <c r="I14" s="209"/>
      <c r="J14" s="210"/>
      <c r="K14" s="209"/>
      <c r="L14" s="211"/>
      <c r="M14" s="291">
        <f t="shared" si="1"/>
        <v>2</v>
      </c>
      <c r="N14" s="190"/>
      <c r="O14" s="190"/>
    </row>
    <row r="15" spans="1:15" s="191" customFormat="1" ht="25.5" customHeight="1">
      <c r="A15" s="199"/>
      <c r="B15" s="200">
        <f t="shared" si="0"/>
        <v>4</v>
      </c>
      <c r="C15" s="374"/>
      <c r="D15" s="374"/>
      <c r="E15" s="208"/>
      <c r="F15" s="209"/>
      <c r="G15" s="210"/>
      <c r="H15" s="208"/>
      <c r="I15" s="209"/>
      <c r="J15" s="210"/>
      <c r="K15" s="209"/>
      <c r="L15" s="211"/>
      <c r="M15" s="291">
        <f t="shared" si="1"/>
        <v>2</v>
      </c>
      <c r="N15" s="190"/>
      <c r="O15" s="190"/>
    </row>
    <row r="16" spans="1:15" s="191" customFormat="1" ht="25.5" customHeight="1">
      <c r="A16" s="199"/>
      <c r="B16" s="200">
        <f t="shared" si="0"/>
        <v>5</v>
      </c>
      <c r="C16" s="374"/>
      <c r="D16" s="374"/>
      <c r="E16" s="208"/>
      <c r="F16" s="209"/>
      <c r="G16" s="210"/>
      <c r="H16" s="208"/>
      <c r="I16" s="209"/>
      <c r="J16" s="210"/>
      <c r="K16" s="209"/>
      <c r="L16" s="211"/>
      <c r="M16" s="291">
        <f t="shared" si="1"/>
        <v>2</v>
      </c>
      <c r="N16" s="190"/>
      <c r="O16" s="190"/>
    </row>
    <row r="17" spans="1:15" s="191" customFormat="1" ht="25.5" customHeight="1">
      <c r="A17" s="199"/>
      <c r="B17" s="200">
        <f t="shared" si="0"/>
        <v>6</v>
      </c>
      <c r="C17" s="374"/>
      <c r="D17" s="374"/>
      <c r="E17" s="208"/>
      <c r="F17" s="209"/>
      <c r="G17" s="210"/>
      <c r="H17" s="208"/>
      <c r="I17" s="209"/>
      <c r="J17" s="210"/>
      <c r="K17" s="209"/>
      <c r="L17" s="211"/>
      <c r="M17" s="291">
        <f t="shared" si="1"/>
        <v>2</v>
      </c>
      <c r="N17" s="190"/>
      <c r="O17" s="190"/>
    </row>
    <row r="18" spans="1:15" s="191" customFormat="1" ht="25.5" customHeight="1">
      <c r="A18" s="199"/>
      <c r="B18" s="200">
        <f t="shared" si="0"/>
        <v>7</v>
      </c>
      <c r="C18" s="374"/>
      <c r="D18" s="374"/>
      <c r="E18" s="208"/>
      <c r="F18" s="209"/>
      <c r="G18" s="210"/>
      <c r="H18" s="208"/>
      <c r="I18" s="209"/>
      <c r="J18" s="210"/>
      <c r="K18" s="209"/>
      <c r="L18" s="211"/>
      <c r="M18" s="291">
        <f t="shared" si="1"/>
        <v>2</v>
      </c>
      <c r="N18" s="190"/>
      <c r="O18" s="190"/>
    </row>
    <row r="19" spans="1:15" s="191" customFormat="1" ht="25.5" customHeight="1">
      <c r="A19" s="199"/>
      <c r="B19" s="200">
        <f t="shared" si="0"/>
        <v>8</v>
      </c>
      <c r="C19" s="374"/>
      <c r="D19" s="374"/>
      <c r="E19" s="208"/>
      <c r="F19" s="209"/>
      <c r="G19" s="210"/>
      <c r="H19" s="208"/>
      <c r="I19" s="209"/>
      <c r="J19" s="210"/>
      <c r="K19" s="209"/>
      <c r="L19" s="211"/>
      <c r="M19" s="291">
        <f t="shared" si="1"/>
        <v>2</v>
      </c>
      <c r="N19" s="190"/>
      <c r="O19" s="190"/>
    </row>
    <row r="20" spans="1:15" s="191" customFormat="1" ht="25.5" customHeight="1">
      <c r="A20" s="199"/>
      <c r="B20" s="200">
        <f t="shared" si="0"/>
        <v>9</v>
      </c>
      <c r="C20" s="374"/>
      <c r="D20" s="374"/>
      <c r="E20" s="208"/>
      <c r="F20" s="209"/>
      <c r="G20" s="210"/>
      <c r="H20" s="208"/>
      <c r="I20" s="209"/>
      <c r="J20" s="210"/>
      <c r="K20" s="209"/>
      <c r="L20" s="211"/>
      <c r="M20" s="291">
        <f t="shared" si="1"/>
        <v>2</v>
      </c>
      <c r="N20" s="190"/>
      <c r="O20" s="190"/>
    </row>
    <row r="21" spans="1:15" s="191" customFormat="1" ht="25.5" customHeight="1">
      <c r="A21" s="199"/>
      <c r="B21" s="200">
        <f t="shared" si="0"/>
        <v>10</v>
      </c>
      <c r="C21" s="374"/>
      <c r="D21" s="374"/>
      <c r="E21" s="208"/>
      <c r="F21" s="209"/>
      <c r="G21" s="210"/>
      <c r="H21" s="208"/>
      <c r="I21" s="209"/>
      <c r="J21" s="210"/>
      <c r="K21" s="209"/>
      <c r="L21" s="211"/>
      <c r="M21" s="291">
        <f t="shared" si="1"/>
        <v>2</v>
      </c>
      <c r="N21" s="190"/>
      <c r="O21" s="190"/>
    </row>
    <row r="22" spans="1:15" s="191" customFormat="1" ht="25.5" customHeight="1">
      <c r="A22" s="199"/>
      <c r="B22" s="200">
        <f t="shared" si="0"/>
        <v>11</v>
      </c>
      <c r="C22" s="374"/>
      <c r="D22" s="374"/>
      <c r="E22" s="208"/>
      <c r="F22" s="209"/>
      <c r="G22" s="210"/>
      <c r="H22" s="208"/>
      <c r="I22" s="209"/>
      <c r="J22" s="210"/>
      <c r="K22" s="209"/>
      <c r="L22" s="211"/>
      <c r="M22" s="291">
        <f t="shared" si="1"/>
        <v>2</v>
      </c>
      <c r="N22" s="190"/>
      <c r="O22" s="190"/>
    </row>
    <row r="23" spans="1:15" s="191" customFormat="1" ht="25.5" customHeight="1">
      <c r="A23" s="199"/>
      <c r="B23" s="200">
        <f t="shared" si="0"/>
        <v>12</v>
      </c>
      <c r="C23" s="374"/>
      <c r="D23" s="374"/>
      <c r="E23" s="208"/>
      <c r="F23" s="209"/>
      <c r="G23" s="210"/>
      <c r="H23" s="208"/>
      <c r="I23" s="209"/>
      <c r="J23" s="210"/>
      <c r="K23" s="209"/>
      <c r="L23" s="211"/>
      <c r="M23" s="291">
        <f t="shared" si="1"/>
        <v>2</v>
      </c>
      <c r="N23" s="190"/>
      <c r="O23" s="190"/>
    </row>
    <row r="24" spans="1:15" s="191" customFormat="1" ht="25.5" customHeight="1">
      <c r="A24" s="199"/>
      <c r="B24" s="200">
        <f t="shared" si="0"/>
        <v>13</v>
      </c>
      <c r="C24" s="374"/>
      <c r="D24" s="374"/>
      <c r="E24" s="208"/>
      <c r="F24" s="209"/>
      <c r="G24" s="210"/>
      <c r="H24" s="208"/>
      <c r="I24" s="209"/>
      <c r="J24" s="210"/>
      <c r="K24" s="209"/>
      <c r="L24" s="211"/>
      <c r="M24" s="291">
        <f t="shared" si="1"/>
        <v>2</v>
      </c>
      <c r="N24" s="190"/>
      <c r="O24" s="190"/>
    </row>
    <row r="25" spans="1:15" s="191" customFormat="1" ht="25.5" customHeight="1">
      <c r="A25" s="199"/>
      <c r="B25" s="200">
        <f t="shared" si="0"/>
        <v>14</v>
      </c>
      <c r="C25" s="374"/>
      <c r="D25" s="374"/>
      <c r="E25" s="208"/>
      <c r="F25" s="209"/>
      <c r="G25" s="210"/>
      <c r="H25" s="208"/>
      <c r="I25" s="209"/>
      <c r="J25" s="210"/>
      <c r="K25" s="209"/>
      <c r="L25" s="211"/>
      <c r="M25" s="291">
        <f t="shared" si="1"/>
        <v>2</v>
      </c>
      <c r="N25" s="190"/>
      <c r="O25" s="190"/>
    </row>
    <row r="26" spans="1:15" s="191" customFormat="1" ht="25.5" customHeight="1">
      <c r="A26" s="199"/>
      <c r="B26" s="200">
        <f t="shared" si="0"/>
        <v>15</v>
      </c>
      <c r="C26" s="374"/>
      <c r="D26" s="374"/>
      <c r="E26" s="208"/>
      <c r="F26" s="209"/>
      <c r="G26" s="210"/>
      <c r="H26" s="208"/>
      <c r="I26" s="209"/>
      <c r="J26" s="210"/>
      <c r="K26" s="209"/>
      <c r="L26" s="211"/>
      <c r="M26" s="291">
        <f t="shared" si="1"/>
        <v>2</v>
      </c>
      <c r="N26" s="190"/>
      <c r="O26" s="190"/>
    </row>
    <row r="27" spans="1:15" s="191" customFormat="1" ht="25.5" customHeight="1">
      <c r="A27" s="199"/>
      <c r="B27" s="200">
        <f t="shared" si="0"/>
        <v>16</v>
      </c>
      <c r="C27" s="374"/>
      <c r="D27" s="374"/>
      <c r="E27" s="208"/>
      <c r="F27" s="209"/>
      <c r="G27" s="210"/>
      <c r="H27" s="208"/>
      <c r="I27" s="209"/>
      <c r="J27" s="210"/>
      <c r="K27" s="209"/>
      <c r="L27" s="211"/>
      <c r="M27" s="291">
        <f t="shared" si="1"/>
        <v>2</v>
      </c>
      <c r="N27" s="190"/>
      <c r="O27" s="190"/>
    </row>
    <row r="28" spans="1:15" s="191" customFormat="1" ht="25.5" customHeight="1">
      <c r="A28" s="199"/>
      <c r="B28" s="200">
        <f t="shared" si="0"/>
        <v>17</v>
      </c>
      <c r="C28" s="374"/>
      <c r="D28" s="374"/>
      <c r="E28" s="208"/>
      <c r="F28" s="209"/>
      <c r="G28" s="210"/>
      <c r="H28" s="208"/>
      <c r="I28" s="209"/>
      <c r="J28" s="210"/>
      <c r="K28" s="209"/>
      <c r="L28" s="211"/>
      <c r="M28" s="291">
        <f t="shared" si="1"/>
        <v>2</v>
      </c>
      <c r="N28" s="190"/>
      <c r="O28" s="190"/>
    </row>
    <row r="29" spans="1:15" s="191" customFormat="1" ht="25.5" customHeight="1">
      <c r="A29" s="199"/>
      <c r="B29" s="200">
        <f t="shared" si="0"/>
        <v>18</v>
      </c>
      <c r="C29" s="374"/>
      <c r="D29" s="374"/>
      <c r="E29" s="208"/>
      <c r="F29" s="209"/>
      <c r="G29" s="210"/>
      <c r="H29" s="208"/>
      <c r="I29" s="209"/>
      <c r="J29" s="210"/>
      <c r="K29" s="209"/>
      <c r="L29" s="211"/>
      <c r="M29" s="291">
        <f t="shared" si="1"/>
        <v>2</v>
      </c>
      <c r="N29" s="190"/>
      <c r="O29" s="190"/>
    </row>
    <row r="30" spans="1:15" s="191" customFormat="1" ht="25.5" customHeight="1">
      <c r="A30" s="199"/>
      <c r="B30" s="200">
        <f t="shared" si="0"/>
        <v>19</v>
      </c>
      <c r="C30" s="374"/>
      <c r="D30" s="374"/>
      <c r="E30" s="208"/>
      <c r="F30" s="209"/>
      <c r="G30" s="210"/>
      <c r="H30" s="208"/>
      <c r="I30" s="209"/>
      <c r="J30" s="210"/>
      <c r="K30" s="209"/>
      <c r="L30" s="211"/>
      <c r="M30" s="291">
        <f t="shared" si="1"/>
        <v>2</v>
      </c>
      <c r="N30" s="190"/>
      <c r="O30" s="190"/>
    </row>
    <row r="31" spans="1:15" s="191" customFormat="1" ht="25.5" customHeight="1">
      <c r="A31" s="199"/>
      <c r="B31" s="200">
        <f t="shared" si="0"/>
        <v>20</v>
      </c>
      <c r="C31" s="374"/>
      <c r="D31" s="374"/>
      <c r="E31" s="208"/>
      <c r="F31" s="209"/>
      <c r="G31" s="210"/>
      <c r="H31" s="208"/>
      <c r="I31" s="209"/>
      <c r="J31" s="210"/>
      <c r="K31" s="209"/>
      <c r="L31" s="211"/>
      <c r="M31" s="291">
        <f t="shared" si="1"/>
        <v>2</v>
      </c>
      <c r="N31" s="190"/>
      <c r="O31" s="190"/>
    </row>
    <row r="32" spans="1:15" s="191" customFormat="1" ht="25.5" customHeight="1">
      <c r="A32" s="199"/>
      <c r="B32" s="200">
        <f t="shared" si="0"/>
        <v>21</v>
      </c>
      <c r="C32" s="374"/>
      <c r="D32" s="374"/>
      <c r="E32" s="208"/>
      <c r="F32" s="209"/>
      <c r="G32" s="210"/>
      <c r="H32" s="208"/>
      <c r="I32" s="209"/>
      <c r="J32" s="210"/>
      <c r="K32" s="209"/>
      <c r="L32" s="211"/>
      <c r="M32" s="291">
        <f t="shared" si="1"/>
        <v>2</v>
      </c>
      <c r="N32" s="190"/>
      <c r="O32" s="190"/>
    </row>
    <row r="33" spans="1:15" s="191" customFormat="1" ht="25.5" customHeight="1">
      <c r="A33" s="199"/>
      <c r="B33" s="200">
        <f t="shared" si="0"/>
        <v>22</v>
      </c>
      <c r="C33" s="374"/>
      <c r="D33" s="374"/>
      <c r="E33" s="208"/>
      <c r="F33" s="209"/>
      <c r="G33" s="210"/>
      <c r="H33" s="208"/>
      <c r="I33" s="209"/>
      <c r="J33" s="210"/>
      <c r="K33" s="209"/>
      <c r="L33" s="211"/>
      <c r="M33" s="291">
        <f t="shared" si="1"/>
        <v>2</v>
      </c>
      <c r="N33" s="190"/>
      <c r="O33" s="190"/>
    </row>
    <row r="34" spans="1:15" s="191" customFormat="1" ht="25.5" customHeight="1">
      <c r="A34" s="199"/>
      <c r="B34" s="200">
        <f t="shared" si="0"/>
        <v>23</v>
      </c>
      <c r="C34" s="374"/>
      <c r="D34" s="374"/>
      <c r="E34" s="208"/>
      <c r="F34" s="209"/>
      <c r="G34" s="210"/>
      <c r="H34" s="208"/>
      <c r="I34" s="209"/>
      <c r="J34" s="210"/>
      <c r="K34" s="209"/>
      <c r="L34" s="211"/>
      <c r="M34" s="291">
        <f t="shared" si="1"/>
        <v>2</v>
      </c>
      <c r="N34" s="190"/>
      <c r="O34" s="190"/>
    </row>
    <row r="35" spans="1:15" s="191" customFormat="1" ht="25.5" customHeight="1">
      <c r="A35" s="199"/>
      <c r="B35" s="200">
        <f t="shared" si="0"/>
        <v>24</v>
      </c>
      <c r="C35" s="374"/>
      <c r="D35" s="374"/>
      <c r="E35" s="208"/>
      <c r="F35" s="209"/>
      <c r="G35" s="210"/>
      <c r="H35" s="208"/>
      <c r="I35" s="209"/>
      <c r="J35" s="210"/>
      <c r="K35" s="209"/>
      <c r="L35" s="211"/>
      <c r="M35" s="291">
        <f t="shared" si="1"/>
        <v>2</v>
      </c>
      <c r="N35" s="190"/>
      <c r="O35" s="190"/>
    </row>
    <row r="36" spans="1:15" s="191" customFormat="1" ht="25.5" customHeight="1">
      <c r="A36" s="199"/>
      <c r="B36" s="200">
        <f t="shared" si="0"/>
        <v>25</v>
      </c>
      <c r="C36" s="374"/>
      <c r="D36" s="374"/>
      <c r="E36" s="208"/>
      <c r="F36" s="209"/>
      <c r="G36" s="210"/>
      <c r="H36" s="208"/>
      <c r="I36" s="209"/>
      <c r="J36" s="210"/>
      <c r="K36" s="209"/>
      <c r="L36" s="211"/>
      <c r="M36" s="291">
        <f t="shared" si="1"/>
        <v>2</v>
      </c>
      <c r="N36" s="190"/>
      <c r="O36" s="190"/>
    </row>
    <row r="37" spans="1:15" s="191" customFormat="1" ht="25.5" customHeight="1">
      <c r="A37" s="199"/>
      <c r="B37" s="200">
        <f t="shared" si="0"/>
        <v>26</v>
      </c>
      <c r="C37" s="374"/>
      <c r="D37" s="374"/>
      <c r="E37" s="208"/>
      <c r="F37" s="209"/>
      <c r="G37" s="210"/>
      <c r="H37" s="208"/>
      <c r="I37" s="209"/>
      <c r="J37" s="210"/>
      <c r="K37" s="209"/>
      <c r="L37" s="211"/>
      <c r="M37" s="291">
        <f t="shared" si="1"/>
        <v>2</v>
      </c>
      <c r="N37" s="190"/>
      <c r="O37" s="190"/>
    </row>
    <row r="38" spans="1:15" s="191" customFormat="1" ht="25.5" customHeight="1">
      <c r="A38" s="199"/>
      <c r="B38" s="200">
        <f t="shared" si="0"/>
        <v>27</v>
      </c>
      <c r="C38" s="374"/>
      <c r="D38" s="374"/>
      <c r="E38" s="208"/>
      <c r="F38" s="209"/>
      <c r="G38" s="210"/>
      <c r="H38" s="208"/>
      <c r="I38" s="209"/>
      <c r="J38" s="210"/>
      <c r="K38" s="209"/>
      <c r="L38" s="211"/>
      <c r="M38" s="291">
        <f t="shared" si="1"/>
        <v>2</v>
      </c>
      <c r="N38" s="190"/>
      <c r="O38" s="190"/>
    </row>
    <row r="39" spans="1:15" s="191" customFormat="1" ht="25.5" customHeight="1">
      <c r="A39" s="199"/>
      <c r="B39" s="200">
        <f t="shared" si="0"/>
        <v>28</v>
      </c>
      <c r="C39" s="374"/>
      <c r="D39" s="374"/>
      <c r="E39" s="208"/>
      <c r="F39" s="209"/>
      <c r="G39" s="210"/>
      <c r="H39" s="208"/>
      <c r="I39" s="209"/>
      <c r="J39" s="210"/>
      <c r="K39" s="209"/>
      <c r="L39" s="211"/>
      <c r="M39" s="291">
        <f t="shared" si="1"/>
        <v>2</v>
      </c>
      <c r="N39" s="190"/>
      <c r="O39" s="190"/>
    </row>
    <row r="40" spans="1:15" s="191" customFormat="1" ht="25.5" customHeight="1">
      <c r="A40" s="199"/>
      <c r="B40" s="200">
        <f t="shared" si="0"/>
        <v>29</v>
      </c>
      <c r="C40" s="374"/>
      <c r="D40" s="374"/>
      <c r="E40" s="208"/>
      <c r="F40" s="209"/>
      <c r="G40" s="210"/>
      <c r="H40" s="208"/>
      <c r="I40" s="209"/>
      <c r="J40" s="210"/>
      <c r="K40" s="209"/>
      <c r="L40" s="211"/>
      <c r="M40" s="291">
        <f t="shared" si="1"/>
        <v>2</v>
      </c>
      <c r="N40" s="190"/>
      <c r="O40" s="190"/>
    </row>
    <row r="41" spans="1:15" s="191" customFormat="1" ht="25.5" customHeight="1">
      <c r="A41" s="199"/>
      <c r="B41" s="200">
        <f t="shared" si="0"/>
        <v>30</v>
      </c>
      <c r="C41" s="374"/>
      <c r="D41" s="374"/>
      <c r="E41" s="208"/>
      <c r="F41" s="209"/>
      <c r="G41" s="210"/>
      <c r="H41" s="208"/>
      <c r="I41" s="209"/>
      <c r="J41" s="210"/>
      <c r="K41" s="209"/>
      <c r="L41" s="211"/>
      <c r="M41" s="291">
        <f t="shared" si="1"/>
        <v>2</v>
      </c>
      <c r="N41" s="190"/>
      <c r="O41" s="190"/>
    </row>
    <row r="42" spans="1:15" s="191" customFormat="1" ht="25.5" customHeight="1">
      <c r="A42" s="199"/>
      <c r="B42" s="200">
        <f t="shared" si="0"/>
        <v>31</v>
      </c>
      <c r="C42" s="374"/>
      <c r="D42" s="374"/>
      <c r="E42" s="208"/>
      <c r="F42" s="209"/>
      <c r="G42" s="210"/>
      <c r="H42" s="208"/>
      <c r="I42" s="209"/>
      <c r="J42" s="210"/>
      <c r="K42" s="209"/>
      <c r="L42" s="211"/>
      <c r="M42" s="291">
        <f t="shared" si="1"/>
        <v>2</v>
      </c>
      <c r="N42" s="190"/>
      <c r="O42" s="190"/>
    </row>
    <row r="43" spans="1:15" s="191" customFormat="1" ht="25.5" customHeight="1">
      <c r="A43" s="199"/>
      <c r="B43" s="200">
        <f t="shared" si="0"/>
        <v>32</v>
      </c>
      <c r="C43" s="374"/>
      <c r="D43" s="374"/>
      <c r="E43" s="208"/>
      <c r="F43" s="209"/>
      <c r="G43" s="210"/>
      <c r="H43" s="208"/>
      <c r="I43" s="209"/>
      <c r="J43" s="210"/>
      <c r="K43" s="209"/>
      <c r="L43" s="211"/>
      <c r="M43" s="291">
        <f t="shared" si="1"/>
        <v>2</v>
      </c>
      <c r="N43" s="190"/>
      <c r="O43" s="190"/>
    </row>
    <row r="44" spans="1:15" s="191" customFormat="1" ht="25.5" customHeight="1">
      <c r="A44" s="199"/>
      <c r="B44" s="200">
        <f aca="true" t="shared" si="2" ref="B44:B63">ROW()-11</f>
        <v>33</v>
      </c>
      <c r="C44" s="374"/>
      <c r="D44" s="374"/>
      <c r="E44" s="208"/>
      <c r="F44" s="209"/>
      <c r="G44" s="210"/>
      <c r="H44" s="208"/>
      <c r="I44" s="209"/>
      <c r="J44" s="210"/>
      <c r="K44" s="209"/>
      <c r="L44" s="211"/>
      <c r="M44" s="291">
        <f aca="true" t="shared" si="3" ref="M44:M63">IF(ISBLANK(E44),2,IF(ISBLANK(J44),0,1))</f>
        <v>2</v>
      </c>
      <c r="N44" s="190"/>
      <c r="O44" s="190"/>
    </row>
    <row r="45" spans="1:15" s="191" customFormat="1" ht="25.5" customHeight="1">
      <c r="A45" s="199"/>
      <c r="B45" s="200">
        <f t="shared" si="2"/>
        <v>34</v>
      </c>
      <c r="C45" s="374"/>
      <c r="D45" s="374"/>
      <c r="E45" s="208"/>
      <c r="F45" s="209"/>
      <c r="G45" s="210"/>
      <c r="H45" s="208"/>
      <c r="I45" s="209"/>
      <c r="J45" s="210"/>
      <c r="K45" s="209"/>
      <c r="L45" s="211"/>
      <c r="M45" s="291">
        <f t="shared" si="3"/>
        <v>2</v>
      </c>
      <c r="N45" s="190"/>
      <c r="O45" s="190"/>
    </row>
    <row r="46" spans="1:15" s="191" customFormat="1" ht="25.5" customHeight="1">
      <c r="A46" s="199"/>
      <c r="B46" s="200">
        <f t="shared" si="2"/>
        <v>35</v>
      </c>
      <c r="C46" s="374"/>
      <c r="D46" s="374"/>
      <c r="E46" s="208"/>
      <c r="F46" s="209"/>
      <c r="G46" s="210"/>
      <c r="H46" s="208"/>
      <c r="I46" s="209"/>
      <c r="J46" s="210"/>
      <c r="K46" s="209"/>
      <c r="L46" s="211"/>
      <c r="M46" s="291">
        <f t="shared" si="3"/>
        <v>2</v>
      </c>
      <c r="N46" s="190"/>
      <c r="O46" s="190"/>
    </row>
    <row r="47" spans="1:15" s="191" customFormat="1" ht="25.5" customHeight="1">
      <c r="A47" s="199"/>
      <c r="B47" s="200">
        <f t="shared" si="2"/>
        <v>36</v>
      </c>
      <c r="C47" s="374"/>
      <c r="D47" s="374"/>
      <c r="E47" s="208"/>
      <c r="F47" s="209"/>
      <c r="G47" s="210"/>
      <c r="H47" s="208"/>
      <c r="I47" s="209"/>
      <c r="J47" s="210"/>
      <c r="K47" s="209"/>
      <c r="L47" s="211"/>
      <c r="M47" s="291">
        <f t="shared" si="3"/>
        <v>2</v>
      </c>
      <c r="N47" s="190"/>
      <c r="O47" s="190"/>
    </row>
    <row r="48" spans="1:15" s="191" customFormat="1" ht="25.5" customHeight="1">
      <c r="A48" s="199"/>
      <c r="B48" s="200">
        <f t="shared" si="2"/>
        <v>37</v>
      </c>
      <c r="C48" s="374"/>
      <c r="D48" s="374"/>
      <c r="E48" s="208"/>
      <c r="F48" s="209"/>
      <c r="G48" s="210"/>
      <c r="H48" s="208"/>
      <c r="I48" s="209"/>
      <c r="J48" s="210"/>
      <c r="K48" s="209"/>
      <c r="L48" s="211"/>
      <c r="M48" s="291">
        <f t="shared" si="3"/>
        <v>2</v>
      </c>
      <c r="N48" s="190"/>
      <c r="O48" s="190"/>
    </row>
    <row r="49" spans="1:15" s="191" customFormat="1" ht="25.5" customHeight="1">
      <c r="A49" s="199"/>
      <c r="B49" s="200">
        <f t="shared" si="2"/>
        <v>38</v>
      </c>
      <c r="C49" s="374"/>
      <c r="D49" s="374"/>
      <c r="E49" s="208"/>
      <c r="F49" s="209"/>
      <c r="G49" s="210"/>
      <c r="H49" s="208"/>
      <c r="I49" s="209"/>
      <c r="J49" s="210"/>
      <c r="K49" s="209"/>
      <c r="L49" s="211"/>
      <c r="M49" s="291">
        <f t="shared" si="3"/>
        <v>2</v>
      </c>
      <c r="N49" s="190"/>
      <c r="O49" s="190"/>
    </row>
    <row r="50" spans="1:15" s="191" customFormat="1" ht="25.5" customHeight="1">
      <c r="A50" s="199"/>
      <c r="B50" s="200">
        <f t="shared" si="2"/>
        <v>39</v>
      </c>
      <c r="C50" s="374"/>
      <c r="D50" s="374"/>
      <c r="E50" s="208"/>
      <c r="F50" s="209"/>
      <c r="G50" s="210"/>
      <c r="H50" s="208"/>
      <c r="I50" s="209"/>
      <c r="J50" s="210"/>
      <c r="K50" s="209"/>
      <c r="L50" s="211"/>
      <c r="M50" s="291">
        <f t="shared" si="3"/>
        <v>2</v>
      </c>
      <c r="N50" s="190"/>
      <c r="O50" s="190"/>
    </row>
    <row r="51" spans="1:15" s="191" customFormat="1" ht="25.5" customHeight="1">
      <c r="A51" s="199"/>
      <c r="B51" s="200">
        <f t="shared" si="2"/>
        <v>40</v>
      </c>
      <c r="C51" s="374"/>
      <c r="D51" s="374"/>
      <c r="E51" s="208"/>
      <c r="F51" s="209"/>
      <c r="G51" s="210"/>
      <c r="H51" s="208"/>
      <c r="I51" s="209"/>
      <c r="J51" s="210"/>
      <c r="K51" s="209"/>
      <c r="L51" s="211"/>
      <c r="M51" s="291">
        <f t="shared" si="3"/>
        <v>2</v>
      </c>
      <c r="N51" s="190"/>
      <c r="O51" s="190"/>
    </row>
    <row r="52" spans="1:15" s="191" customFormat="1" ht="25.5" customHeight="1">
      <c r="A52" s="199"/>
      <c r="B52" s="200">
        <f t="shared" si="2"/>
        <v>41</v>
      </c>
      <c r="C52" s="374"/>
      <c r="D52" s="374"/>
      <c r="E52" s="208"/>
      <c r="F52" s="209"/>
      <c r="G52" s="210"/>
      <c r="H52" s="208"/>
      <c r="I52" s="209"/>
      <c r="J52" s="210"/>
      <c r="K52" s="209"/>
      <c r="L52" s="211"/>
      <c r="M52" s="291">
        <f t="shared" si="3"/>
        <v>2</v>
      </c>
      <c r="N52" s="190"/>
      <c r="O52" s="190"/>
    </row>
    <row r="53" spans="1:15" s="191" customFormat="1" ht="25.5" customHeight="1">
      <c r="A53" s="199"/>
      <c r="B53" s="200">
        <f t="shared" si="2"/>
        <v>42</v>
      </c>
      <c r="C53" s="374"/>
      <c r="D53" s="374"/>
      <c r="E53" s="208"/>
      <c r="F53" s="209"/>
      <c r="G53" s="210"/>
      <c r="H53" s="208"/>
      <c r="I53" s="209"/>
      <c r="J53" s="210"/>
      <c r="K53" s="209"/>
      <c r="L53" s="211"/>
      <c r="M53" s="291">
        <f t="shared" si="3"/>
        <v>2</v>
      </c>
      <c r="N53" s="190"/>
      <c r="O53" s="190"/>
    </row>
    <row r="54" spans="1:15" s="191" customFormat="1" ht="25.5" customHeight="1">
      <c r="A54" s="199"/>
      <c r="B54" s="200">
        <f t="shared" si="2"/>
        <v>43</v>
      </c>
      <c r="C54" s="374"/>
      <c r="D54" s="374"/>
      <c r="E54" s="208"/>
      <c r="F54" s="209"/>
      <c r="G54" s="210"/>
      <c r="H54" s="208"/>
      <c r="I54" s="209"/>
      <c r="J54" s="210"/>
      <c r="K54" s="209"/>
      <c r="L54" s="211"/>
      <c r="M54" s="291">
        <f t="shared" si="3"/>
        <v>2</v>
      </c>
      <c r="N54" s="190"/>
      <c r="O54" s="190"/>
    </row>
    <row r="55" spans="1:15" s="191" customFormat="1" ht="25.5" customHeight="1">
      <c r="A55" s="199"/>
      <c r="B55" s="200">
        <f t="shared" si="2"/>
        <v>44</v>
      </c>
      <c r="C55" s="374"/>
      <c r="D55" s="374"/>
      <c r="E55" s="208"/>
      <c r="F55" s="209"/>
      <c r="G55" s="210"/>
      <c r="H55" s="208"/>
      <c r="I55" s="209"/>
      <c r="J55" s="210"/>
      <c r="K55" s="209"/>
      <c r="L55" s="211"/>
      <c r="M55" s="291">
        <f t="shared" si="3"/>
        <v>2</v>
      </c>
      <c r="N55" s="190"/>
      <c r="O55" s="190"/>
    </row>
    <row r="56" spans="1:15" s="191" customFormat="1" ht="25.5" customHeight="1">
      <c r="A56" s="199"/>
      <c r="B56" s="200">
        <f t="shared" si="2"/>
        <v>45</v>
      </c>
      <c r="C56" s="374"/>
      <c r="D56" s="374"/>
      <c r="E56" s="208"/>
      <c r="F56" s="209"/>
      <c r="G56" s="210"/>
      <c r="H56" s="208"/>
      <c r="I56" s="209"/>
      <c r="J56" s="210"/>
      <c r="K56" s="209"/>
      <c r="L56" s="211"/>
      <c r="M56" s="291">
        <f t="shared" si="3"/>
        <v>2</v>
      </c>
      <c r="N56" s="190"/>
      <c r="O56" s="190"/>
    </row>
    <row r="57" spans="1:15" s="191" customFormat="1" ht="25.5" customHeight="1">
      <c r="A57" s="199"/>
      <c r="B57" s="200">
        <f t="shared" si="2"/>
        <v>46</v>
      </c>
      <c r="C57" s="374"/>
      <c r="D57" s="374"/>
      <c r="E57" s="208"/>
      <c r="F57" s="209"/>
      <c r="G57" s="210"/>
      <c r="H57" s="208"/>
      <c r="I57" s="209"/>
      <c r="J57" s="210"/>
      <c r="K57" s="209"/>
      <c r="L57" s="211"/>
      <c r="M57" s="291">
        <f t="shared" si="3"/>
        <v>2</v>
      </c>
      <c r="N57" s="190"/>
      <c r="O57" s="190"/>
    </row>
    <row r="58" spans="1:15" s="191" customFormat="1" ht="25.5" customHeight="1">
      <c r="A58" s="199"/>
      <c r="B58" s="200">
        <f t="shared" si="2"/>
        <v>47</v>
      </c>
      <c r="C58" s="374"/>
      <c r="D58" s="374"/>
      <c r="E58" s="208"/>
      <c r="F58" s="209"/>
      <c r="G58" s="210"/>
      <c r="H58" s="208"/>
      <c r="I58" s="209"/>
      <c r="J58" s="210"/>
      <c r="K58" s="209"/>
      <c r="L58" s="211"/>
      <c r="M58" s="291">
        <f t="shared" si="3"/>
        <v>2</v>
      </c>
      <c r="N58" s="190"/>
      <c r="O58" s="190"/>
    </row>
    <row r="59" spans="1:15" s="191" customFormat="1" ht="25.5" customHeight="1">
      <c r="A59" s="199"/>
      <c r="B59" s="200">
        <f t="shared" si="2"/>
        <v>48</v>
      </c>
      <c r="C59" s="374"/>
      <c r="D59" s="374"/>
      <c r="E59" s="208"/>
      <c r="F59" s="209"/>
      <c r="G59" s="210"/>
      <c r="H59" s="208"/>
      <c r="I59" s="209"/>
      <c r="J59" s="210"/>
      <c r="K59" s="209"/>
      <c r="L59" s="211"/>
      <c r="M59" s="291">
        <f t="shared" si="3"/>
        <v>2</v>
      </c>
      <c r="N59" s="190"/>
      <c r="O59" s="190"/>
    </row>
    <row r="60" spans="1:15" s="191" customFormat="1" ht="25.5" customHeight="1">
      <c r="A60" s="199"/>
      <c r="B60" s="200">
        <f t="shared" si="2"/>
        <v>49</v>
      </c>
      <c r="C60" s="374"/>
      <c r="D60" s="374"/>
      <c r="E60" s="208"/>
      <c r="F60" s="209"/>
      <c r="G60" s="210"/>
      <c r="H60" s="208"/>
      <c r="I60" s="209"/>
      <c r="J60" s="210"/>
      <c r="K60" s="209"/>
      <c r="L60" s="211"/>
      <c r="M60" s="291">
        <f t="shared" si="3"/>
        <v>2</v>
      </c>
      <c r="N60" s="190"/>
      <c r="O60" s="190"/>
    </row>
    <row r="61" spans="1:15" s="191" customFormat="1" ht="25.5" customHeight="1">
      <c r="A61" s="199"/>
      <c r="B61" s="200">
        <f t="shared" si="2"/>
        <v>50</v>
      </c>
      <c r="C61" s="374"/>
      <c r="D61" s="374"/>
      <c r="E61" s="208"/>
      <c r="F61" s="209"/>
      <c r="G61" s="210"/>
      <c r="H61" s="208"/>
      <c r="I61" s="209"/>
      <c r="J61" s="210"/>
      <c r="K61" s="209"/>
      <c r="L61" s="211"/>
      <c r="M61" s="291">
        <f t="shared" si="3"/>
        <v>2</v>
      </c>
      <c r="N61" s="190"/>
      <c r="O61" s="190"/>
    </row>
    <row r="62" spans="1:15" s="191" customFormat="1" ht="25.5" customHeight="1">
      <c r="A62" s="199"/>
      <c r="B62" s="200">
        <f t="shared" si="2"/>
        <v>51</v>
      </c>
      <c r="C62" s="374"/>
      <c r="D62" s="374"/>
      <c r="E62" s="208"/>
      <c r="F62" s="209"/>
      <c r="G62" s="210"/>
      <c r="H62" s="208"/>
      <c r="I62" s="209"/>
      <c r="J62" s="210"/>
      <c r="K62" s="209"/>
      <c r="L62" s="211"/>
      <c r="M62" s="291">
        <f t="shared" si="3"/>
        <v>2</v>
      </c>
      <c r="N62" s="190"/>
      <c r="O62" s="190"/>
    </row>
    <row r="63" spans="1:15" s="191" customFormat="1" ht="25.5" customHeight="1">
      <c r="A63" s="199"/>
      <c r="B63" s="200">
        <f t="shared" si="2"/>
        <v>52</v>
      </c>
      <c r="C63" s="374"/>
      <c r="D63" s="374"/>
      <c r="E63" s="208"/>
      <c r="F63" s="209"/>
      <c r="G63" s="210"/>
      <c r="H63" s="208"/>
      <c r="I63" s="209"/>
      <c r="J63" s="210"/>
      <c r="K63" s="209"/>
      <c r="L63" s="211"/>
      <c r="M63" s="291">
        <f t="shared" si="3"/>
        <v>2</v>
      </c>
      <c r="N63" s="190"/>
      <c r="O63" s="190"/>
    </row>
    <row r="64" spans="1:15" s="191" customFormat="1" ht="15.75">
      <c r="A64" s="272"/>
      <c r="B64" s="273"/>
      <c r="C64" s="273"/>
      <c r="D64" s="274"/>
      <c r="E64" s="275"/>
      <c r="F64" s="276"/>
      <c r="G64" s="277"/>
      <c r="H64" s="276"/>
      <c r="I64" s="276"/>
      <c r="J64" s="277"/>
      <c r="K64" s="276"/>
      <c r="L64" s="278"/>
      <c r="M64" s="292"/>
      <c r="N64" s="190"/>
      <c r="O64" s="190"/>
    </row>
    <row r="65" spans="1:20" s="225" customFormat="1" ht="12.75" customHeight="1" hidden="1">
      <c r="A65" s="279"/>
      <c r="B65" s="280"/>
      <c r="C65" s="280"/>
      <c r="D65" s="281"/>
      <c r="E65" s="282">
        <f>52-COUNTIF(E12:E63,"")</f>
        <v>0</v>
      </c>
      <c r="F65" s="281"/>
      <c r="G65" s="283"/>
      <c r="H65" s="282"/>
      <c r="I65" s="281"/>
      <c r="J65" s="283"/>
      <c r="K65" s="282"/>
      <c r="L65" s="281"/>
      <c r="M65" s="201"/>
      <c r="N65" s="228"/>
      <c r="O65" s="228"/>
      <c r="P65" s="180"/>
      <c r="Q65" s="180"/>
      <c r="R65" s="180"/>
      <c r="S65" s="180"/>
      <c r="T65" s="180"/>
    </row>
    <row r="66" spans="1:12" ht="12.75" customHeight="1">
      <c r="A66" s="284"/>
      <c r="B66" s="285"/>
      <c r="C66" s="285"/>
      <c r="D66" s="286"/>
      <c r="E66" s="286"/>
      <c r="F66" s="286"/>
      <c r="G66" s="287"/>
      <c r="H66" s="288"/>
      <c r="I66" s="286"/>
      <c r="J66" s="287"/>
      <c r="K66" s="288"/>
      <c r="L66" s="286"/>
    </row>
  </sheetData>
  <sheetProtection sheet="1" objects="1" scenarios="1" selectLockedCells="1"/>
  <mergeCells count="9">
    <mergeCell ref="A9:L9"/>
    <mergeCell ref="A8:D8"/>
    <mergeCell ref="A1:D1"/>
    <mergeCell ref="A2:D2"/>
    <mergeCell ref="A3:D3"/>
    <mergeCell ref="A4:D4"/>
    <mergeCell ref="A5:D5"/>
    <mergeCell ref="A6:D6"/>
    <mergeCell ref="A7:D7"/>
  </mergeCells>
  <conditionalFormatting sqref="A12:L64">
    <cfRule type="expression" priority="1" dxfId="39" stopIfTrue="1">
      <formula>OR($L12="х",$L12="x")</formula>
    </cfRule>
  </conditionalFormatting>
  <printOptions/>
  <pageMargins left="0.16180555555555556" right="0.14" top="0.16041666666666668" bottom="0.16041666666666668" header="0" footer="0"/>
  <pageSetup fitToHeight="2" fitToWidth="1" horizontalDpi="600" verticalDpi="600" orientation="portrait" paperSize="9" scale="54" r:id="rId3"/>
  <drawing r:id="rId2"/>
  <legacyDrawing r:id="rId1"/>
</worksheet>
</file>

<file path=xl/worksheets/sheet6.xml><?xml version="1.0" encoding="utf-8"?>
<worksheet xmlns="http://schemas.openxmlformats.org/spreadsheetml/2006/main" xmlns:r="http://schemas.openxmlformats.org/officeDocument/2006/relationships">
  <sheetPr codeName="Лист18">
    <pageSetUpPr fitToPage="1"/>
  </sheetPr>
  <dimension ref="A1:N70"/>
  <sheetViews>
    <sheetView showGridLines="0" showRowColHeaders="0" showZeros="0" zoomScale="85" zoomScaleNormal="85" zoomScalePageLayoutView="0" workbookViewId="0" topLeftCell="A1">
      <pane ySplit="11" topLeftCell="A12" activePane="bottomLeft" state="frozen"/>
      <selection pane="topLeft" activeCell="A1" sqref="A1"/>
      <selection pane="bottomLeft" activeCell="A1" sqref="A1"/>
    </sheetView>
  </sheetViews>
  <sheetFormatPr defaultColWidth="9.00390625" defaultRowHeight="12.75"/>
  <cols>
    <col min="1" max="1" width="4.625" style="452" bestFit="1" customWidth="1"/>
    <col min="2" max="2" width="12.75390625" style="172" customWidth="1"/>
    <col min="3" max="4" width="25.00390625" style="172" customWidth="1"/>
    <col min="5" max="5" width="18.125" style="172" customWidth="1"/>
    <col min="6" max="6" width="20.875" style="172" customWidth="1"/>
    <col min="7" max="8" width="11.75390625" style="172" customWidth="1"/>
    <col min="9" max="9" width="12.625" style="172" customWidth="1"/>
    <col min="10" max="10" width="11.375" style="172" customWidth="1"/>
    <col min="11" max="11" width="16.625" style="172" customWidth="1"/>
    <col min="12" max="12" width="15.00390625" style="172" customWidth="1"/>
    <col min="13" max="13" width="13.25390625" style="172" customWidth="1"/>
    <col min="14" max="14" width="13.00390625" style="172" customWidth="1"/>
    <col min="15" max="16384" width="9.125" style="172" customWidth="1"/>
  </cols>
  <sheetData>
    <row r="1" spans="1:13" ht="23.25" customHeight="1">
      <c r="A1" s="42"/>
      <c r="B1" s="42"/>
      <c r="C1" s="42"/>
      <c r="D1" s="42"/>
      <c r="E1" s="42"/>
      <c r="F1" s="42"/>
      <c r="G1" s="42"/>
      <c r="H1" s="42"/>
      <c r="I1" s="42"/>
      <c r="J1" s="42"/>
      <c r="K1" s="42"/>
      <c r="M1" s="449"/>
    </row>
    <row r="2" spans="1:14" ht="27" customHeight="1">
      <c r="A2" s="10"/>
      <c r="B2" s="10"/>
      <c r="C2" s="10"/>
      <c r="D2" s="10"/>
      <c r="E2" s="10"/>
      <c r="F2" s="10"/>
      <c r="G2" s="10"/>
      <c r="H2" s="10"/>
      <c r="I2" s="10"/>
      <c r="J2" s="10"/>
      <c r="K2" s="10"/>
      <c r="L2" s="10"/>
      <c r="N2" s="450"/>
    </row>
    <row r="3" spans="1:14" ht="12.75">
      <c r="A3" s="561" t="s">
        <v>160</v>
      </c>
      <c r="B3" s="561"/>
      <c r="C3" s="561"/>
      <c r="D3" s="561"/>
      <c r="E3" s="561"/>
      <c r="F3" s="561"/>
      <c r="G3" s="561"/>
      <c r="H3" s="561"/>
      <c r="I3" s="561"/>
      <c r="J3" s="561"/>
      <c r="K3" s="561"/>
      <c r="L3" s="561"/>
      <c r="M3" s="561"/>
      <c r="N3" s="561"/>
    </row>
    <row r="4" spans="1:14" ht="12.75" customHeight="1">
      <c r="A4" s="561" t="s">
        <v>161</v>
      </c>
      <c r="B4" s="561"/>
      <c r="C4" s="561"/>
      <c r="D4" s="561"/>
      <c r="E4" s="561"/>
      <c r="F4" s="561"/>
      <c r="G4" s="561"/>
      <c r="H4" s="561"/>
      <c r="I4" s="561"/>
      <c r="J4" s="561"/>
      <c r="K4" s="561"/>
      <c r="L4" s="561"/>
      <c r="M4" s="561"/>
      <c r="N4" s="561"/>
    </row>
    <row r="5" spans="1:14" ht="21" customHeight="1">
      <c r="A5" s="559" t="str">
        <f>UPPER(Установка!C3)</f>
        <v>"КУБОК ЮЖНОГО УРАЛА"</v>
      </c>
      <c r="B5" s="559"/>
      <c r="C5" s="559"/>
      <c r="D5" s="559"/>
      <c r="E5" s="559"/>
      <c r="F5" s="559"/>
      <c r="G5" s="559"/>
      <c r="H5" s="559"/>
      <c r="I5" s="559"/>
      <c r="J5" s="559"/>
      <c r="K5" s="559"/>
      <c r="L5" s="559"/>
      <c r="M5" s="559"/>
      <c r="N5" s="559"/>
    </row>
    <row r="6" spans="1:14" ht="12.75" customHeight="1">
      <c r="A6" s="562" t="s">
        <v>3</v>
      </c>
      <c r="B6" s="562"/>
      <c r="C6" s="562"/>
      <c r="D6" s="562"/>
      <c r="E6" s="562"/>
      <c r="F6" s="562"/>
      <c r="G6" s="562"/>
      <c r="H6" s="562"/>
      <c r="I6" s="562"/>
      <c r="J6" s="562"/>
      <c r="K6" s="562"/>
      <c r="L6" s="562"/>
      <c r="M6" s="562"/>
      <c r="N6" s="562"/>
    </row>
    <row r="7" spans="2:14" ht="20.25">
      <c r="B7" s="451"/>
      <c r="C7" s="453" t="s">
        <v>32</v>
      </c>
      <c r="D7" s="563" t="str">
        <f>UPPER(Установка!C4)</f>
        <v>ДО 15 ЛЕТ</v>
      </c>
      <c r="E7" s="563"/>
      <c r="F7" s="451"/>
      <c r="G7" s="451"/>
      <c r="H7" s="451"/>
      <c r="I7" s="451"/>
      <c r="J7" s="451"/>
      <c r="M7" s="550" t="str">
        <f>IF(Установка!$C$5="","Ю/Д/М/Ж",UPPER(Установка!$C$5))</f>
        <v>ЮНОШИ</v>
      </c>
      <c r="N7" s="550"/>
    </row>
    <row r="8" spans="12:13" ht="16.5" customHeight="1">
      <c r="L8" s="454" t="s">
        <v>69</v>
      </c>
      <c r="M8" s="63" t="str">
        <f>Установка!C37</f>
        <v>IV</v>
      </c>
    </row>
    <row r="9" spans="1:13" s="457" customFormat="1" ht="15.75" customHeight="1">
      <c r="A9" s="556" t="s">
        <v>33</v>
      </c>
      <c r="B9" s="556"/>
      <c r="C9" s="448" t="str">
        <f>UPPER(Установка!C6)</f>
        <v>Г.ЧЕЛЯБИНСК</v>
      </c>
      <c r="D9" s="455" t="s">
        <v>34</v>
      </c>
      <c r="E9" s="456" t="str">
        <f>Установка!C7</f>
        <v>30.04.16-06.05.16</v>
      </c>
      <c r="F9" s="169"/>
      <c r="G9" s="169"/>
      <c r="H9" s="169"/>
      <c r="I9" s="169"/>
      <c r="J9" s="169"/>
      <c r="L9" s="458" t="s">
        <v>138</v>
      </c>
      <c r="M9" s="459" t="str">
        <f>Установка!C46</f>
        <v>Б</v>
      </c>
    </row>
    <row r="10" ht="10.5" customHeight="1"/>
    <row r="11" spans="1:14" s="173" customFormat="1" ht="36" customHeight="1">
      <c r="A11" s="171" t="s">
        <v>65</v>
      </c>
      <c r="B11" s="557" t="s">
        <v>139</v>
      </c>
      <c r="C11" s="560"/>
      <c r="D11" s="558"/>
      <c r="E11" s="460" t="s">
        <v>75</v>
      </c>
      <c r="F11" s="171" t="s">
        <v>28</v>
      </c>
      <c r="G11" s="171" t="s">
        <v>36</v>
      </c>
      <c r="H11" s="171" t="s">
        <v>140</v>
      </c>
      <c r="I11" s="171" t="s">
        <v>19</v>
      </c>
      <c r="J11" s="460" t="s">
        <v>141</v>
      </c>
      <c r="K11" s="557" t="s">
        <v>142</v>
      </c>
      <c r="L11" s="558"/>
      <c r="M11" s="171" t="s">
        <v>143</v>
      </c>
      <c r="N11" s="171" t="s">
        <v>144</v>
      </c>
    </row>
    <row r="12" spans="1:14" ht="21" customHeight="1">
      <c r="A12" s="461">
        <v>1</v>
      </c>
      <c r="B12" s="551">
        <f>'Лист ожидания'!E12</f>
        <v>0</v>
      </c>
      <c r="C12" s="552"/>
      <c r="D12" s="553"/>
      <c r="E12" s="462">
        <f>'Лист ожидания'!G12</f>
        <v>0</v>
      </c>
      <c r="F12" s="463">
        <f>'Лист ожидания'!H12</f>
        <v>0</v>
      </c>
      <c r="G12" s="461">
        <f>'Лист ожидания'!F12</f>
        <v>0</v>
      </c>
      <c r="H12" s="463">
        <f>IF(B12=0,"",'Лист ожидания'!I12)</f>
      </c>
      <c r="I12" s="464">
        <f>'Лист ожидания'!D12</f>
        <v>0</v>
      </c>
      <c r="J12" s="465">
        <f>IF(B12=0,"",CONCATENATE("ОТ ",'Лист ожидания'!K12))</f>
      </c>
      <c r="K12" s="548"/>
      <c r="L12" s="549"/>
      <c r="M12" s="466">
        <f>IF(B12=0,"",Установка!$C$14)</f>
      </c>
      <c r="N12" s="467"/>
    </row>
    <row r="13" spans="1:14" ht="21" customHeight="1">
      <c r="A13" s="461">
        <v>2</v>
      </c>
      <c r="B13" s="551">
        <f>'Лист ожидания'!E13</f>
        <v>0</v>
      </c>
      <c r="C13" s="552"/>
      <c r="D13" s="553"/>
      <c r="E13" s="462">
        <f>'Лист ожидания'!G13</f>
        <v>0</v>
      </c>
      <c r="F13" s="463">
        <f>'Лист ожидания'!H13</f>
        <v>0</v>
      </c>
      <c r="G13" s="461">
        <f>'Лист ожидания'!F13</f>
        <v>0</v>
      </c>
      <c r="H13" s="463">
        <f>IF(B13=0,"",'Лист ожидания'!I13)</f>
      </c>
      <c r="I13" s="464">
        <f>'Лист ожидания'!D13</f>
        <v>0</v>
      </c>
      <c r="J13" s="465">
        <f>IF(B13=0,"",CONCATENATE("ОТ ",'Лист ожидания'!K13))</f>
      </c>
      <c r="K13" s="548"/>
      <c r="L13" s="549"/>
      <c r="M13" s="466">
        <f>IF(B13=0,"",Установка!$C$14)</f>
      </c>
      <c r="N13" s="467"/>
    </row>
    <row r="14" spans="1:14" ht="21" customHeight="1">
      <c r="A14" s="461">
        <v>3</v>
      </c>
      <c r="B14" s="551">
        <f>'Лист ожидания'!E14</f>
        <v>0</v>
      </c>
      <c r="C14" s="552"/>
      <c r="D14" s="553"/>
      <c r="E14" s="462">
        <f>'Лист ожидания'!G14</f>
        <v>0</v>
      </c>
      <c r="F14" s="463">
        <f>'Лист ожидания'!H14</f>
        <v>0</v>
      </c>
      <c r="G14" s="461">
        <f>'Лист ожидания'!F14</f>
        <v>0</v>
      </c>
      <c r="H14" s="463">
        <f>IF(B14=0,"",'Лист ожидания'!I14)</f>
      </c>
      <c r="I14" s="464">
        <f>'Лист ожидания'!D14</f>
        <v>0</v>
      </c>
      <c r="J14" s="465">
        <f>IF(B14=0,"",CONCATENATE("ОТ ",'Лист ожидания'!K14))</f>
      </c>
      <c r="K14" s="548"/>
      <c r="L14" s="549"/>
      <c r="M14" s="466">
        <f>IF(B14=0,"",Установка!$C$14)</f>
      </c>
      <c r="N14" s="467"/>
    </row>
    <row r="15" spans="1:14" ht="21" customHeight="1">
      <c r="A15" s="461">
        <v>4</v>
      </c>
      <c r="B15" s="551">
        <f>'Лист ожидания'!E15</f>
        <v>0</v>
      </c>
      <c r="C15" s="552"/>
      <c r="D15" s="553"/>
      <c r="E15" s="462">
        <f>'Лист ожидания'!G15</f>
        <v>0</v>
      </c>
      <c r="F15" s="463">
        <f>'Лист ожидания'!H15</f>
        <v>0</v>
      </c>
      <c r="G15" s="461">
        <f>'Лист ожидания'!F15</f>
        <v>0</v>
      </c>
      <c r="H15" s="463">
        <f>IF(B15=0,"",'Лист ожидания'!I15)</f>
      </c>
      <c r="I15" s="464">
        <f>'Лист ожидания'!D15</f>
        <v>0</v>
      </c>
      <c r="J15" s="465">
        <f>IF(B15=0,"",CONCATENATE("ОТ ",'Лист ожидания'!K15))</f>
      </c>
      <c r="K15" s="548"/>
      <c r="L15" s="549"/>
      <c r="M15" s="466">
        <f>IF(B15=0,"",Установка!$C$14)</f>
      </c>
      <c r="N15" s="467"/>
    </row>
    <row r="16" spans="1:14" ht="21" customHeight="1">
      <c r="A16" s="461">
        <v>5</v>
      </c>
      <c r="B16" s="551">
        <f>'Лист ожидания'!E16</f>
        <v>0</v>
      </c>
      <c r="C16" s="552"/>
      <c r="D16" s="553"/>
      <c r="E16" s="462">
        <f>'Лист ожидания'!G16</f>
        <v>0</v>
      </c>
      <c r="F16" s="463">
        <f>'Лист ожидания'!H16</f>
        <v>0</v>
      </c>
      <c r="G16" s="461">
        <f>'Лист ожидания'!F16</f>
        <v>0</v>
      </c>
      <c r="H16" s="463">
        <f>IF(B16=0,"",'Лист ожидания'!I16)</f>
      </c>
      <c r="I16" s="464">
        <f>'Лист ожидания'!D16</f>
        <v>0</v>
      </c>
      <c r="J16" s="465">
        <f>IF(B16=0,"",CONCATENATE("ОТ ",'Лист ожидания'!K16))</f>
      </c>
      <c r="K16" s="548"/>
      <c r="L16" s="549"/>
      <c r="M16" s="466">
        <f>IF(B16=0,"",Установка!$C$14)</f>
      </c>
      <c r="N16" s="467"/>
    </row>
    <row r="17" spans="1:14" ht="21" customHeight="1">
      <c r="A17" s="461">
        <v>6</v>
      </c>
      <c r="B17" s="551">
        <f>'Лист ожидания'!E17</f>
        <v>0</v>
      </c>
      <c r="C17" s="552"/>
      <c r="D17" s="553"/>
      <c r="E17" s="462">
        <f>'Лист ожидания'!G17</f>
        <v>0</v>
      </c>
      <c r="F17" s="463">
        <f>'Лист ожидания'!H17</f>
        <v>0</v>
      </c>
      <c r="G17" s="461">
        <f>'Лист ожидания'!F17</f>
        <v>0</v>
      </c>
      <c r="H17" s="463">
        <f>IF(B17=0,"",'Лист ожидания'!I17)</f>
      </c>
      <c r="I17" s="464">
        <f>'Лист ожидания'!D17</f>
        <v>0</v>
      </c>
      <c r="J17" s="465">
        <f>IF(B17=0,"",CONCATENATE("ОТ ",'Лист ожидания'!K17))</f>
      </c>
      <c r="K17" s="548"/>
      <c r="L17" s="549"/>
      <c r="M17" s="466">
        <f>IF(B17=0,"",Установка!$C$14)</f>
      </c>
      <c r="N17" s="467"/>
    </row>
    <row r="18" spans="1:14" ht="21" customHeight="1">
      <c r="A18" s="461">
        <v>7</v>
      </c>
      <c r="B18" s="551">
        <f>'Лист ожидания'!E18</f>
        <v>0</v>
      </c>
      <c r="C18" s="552"/>
      <c r="D18" s="553"/>
      <c r="E18" s="462">
        <f>'Лист ожидания'!G18</f>
        <v>0</v>
      </c>
      <c r="F18" s="463">
        <f>'Лист ожидания'!H18</f>
        <v>0</v>
      </c>
      <c r="G18" s="461">
        <f>'Лист ожидания'!F18</f>
        <v>0</v>
      </c>
      <c r="H18" s="463">
        <f>IF(B18=0,"",'Лист ожидания'!I18)</f>
      </c>
      <c r="I18" s="464">
        <f>'Лист ожидания'!D18</f>
        <v>0</v>
      </c>
      <c r="J18" s="465">
        <f>IF(B18=0,"",CONCATENATE("ОТ ",'Лист ожидания'!K18))</f>
      </c>
      <c r="K18" s="548"/>
      <c r="L18" s="549"/>
      <c r="M18" s="466">
        <f>IF(B18=0,"",Установка!$C$14)</f>
      </c>
      <c r="N18" s="467"/>
    </row>
    <row r="19" spans="1:14" ht="21" customHeight="1">
      <c r="A19" s="461">
        <v>8</v>
      </c>
      <c r="B19" s="551">
        <f>'Лист ожидания'!E19</f>
        <v>0</v>
      </c>
      <c r="C19" s="552"/>
      <c r="D19" s="553"/>
      <c r="E19" s="462">
        <f>'Лист ожидания'!G19</f>
        <v>0</v>
      </c>
      <c r="F19" s="463">
        <f>'Лист ожидания'!H19</f>
        <v>0</v>
      </c>
      <c r="G19" s="461">
        <f>'Лист ожидания'!F19</f>
        <v>0</v>
      </c>
      <c r="H19" s="463">
        <f>IF(B19=0,"",'Лист ожидания'!I19)</f>
      </c>
      <c r="I19" s="464">
        <f>'Лист ожидания'!D19</f>
        <v>0</v>
      </c>
      <c r="J19" s="465">
        <f>IF(B19=0,"",CONCATENATE("ОТ ",'Лист ожидания'!K19))</f>
      </c>
      <c r="K19" s="548"/>
      <c r="L19" s="549"/>
      <c r="M19" s="466">
        <f>IF(B19=0,"",Установка!$C$14)</f>
      </c>
      <c r="N19" s="467"/>
    </row>
    <row r="20" spans="1:14" ht="21" customHeight="1">
      <c r="A20" s="461">
        <v>9</v>
      </c>
      <c r="B20" s="551">
        <f>'Лист ожидания'!E20</f>
        <v>0</v>
      </c>
      <c r="C20" s="552"/>
      <c r="D20" s="553"/>
      <c r="E20" s="462">
        <f>'Лист ожидания'!G20</f>
        <v>0</v>
      </c>
      <c r="F20" s="463">
        <f>'Лист ожидания'!H20</f>
        <v>0</v>
      </c>
      <c r="G20" s="461">
        <f>'Лист ожидания'!F20</f>
        <v>0</v>
      </c>
      <c r="H20" s="463">
        <f>IF(B20=0,"",'Лист ожидания'!I20)</f>
      </c>
      <c r="I20" s="464">
        <f>'Лист ожидания'!D20</f>
        <v>0</v>
      </c>
      <c r="J20" s="465">
        <f>IF(B20=0,"",CONCATENATE("ОТ ",'Лист ожидания'!K20))</f>
      </c>
      <c r="K20" s="548"/>
      <c r="L20" s="549"/>
      <c r="M20" s="466">
        <f>IF(B20=0,"",Установка!$C$14)</f>
      </c>
      <c r="N20" s="467"/>
    </row>
    <row r="21" spans="1:14" ht="21" customHeight="1">
      <c r="A21" s="461">
        <v>10</v>
      </c>
      <c r="B21" s="551">
        <f>'Лист ожидания'!E21</f>
        <v>0</v>
      </c>
      <c r="C21" s="552"/>
      <c r="D21" s="553"/>
      <c r="E21" s="462">
        <f>'Лист ожидания'!G21</f>
        <v>0</v>
      </c>
      <c r="F21" s="463">
        <f>'Лист ожидания'!H21</f>
        <v>0</v>
      </c>
      <c r="G21" s="461">
        <f>'Лист ожидания'!F21</f>
        <v>0</v>
      </c>
      <c r="H21" s="463">
        <f>IF(B21=0,"",'Лист ожидания'!I21)</f>
      </c>
      <c r="I21" s="464">
        <f>'Лист ожидания'!D21</f>
        <v>0</v>
      </c>
      <c r="J21" s="465">
        <f>IF(B21=0,"",CONCATENATE("ОТ ",'Лист ожидания'!K21))</f>
      </c>
      <c r="K21" s="548"/>
      <c r="L21" s="549"/>
      <c r="M21" s="466">
        <f>IF(B21=0,"",Установка!$C$14)</f>
      </c>
      <c r="N21" s="467"/>
    </row>
    <row r="22" spans="1:14" ht="21" customHeight="1">
      <c r="A22" s="461">
        <v>11</v>
      </c>
      <c r="B22" s="551">
        <f>'Лист ожидания'!E22</f>
        <v>0</v>
      </c>
      <c r="C22" s="552"/>
      <c r="D22" s="553"/>
      <c r="E22" s="462">
        <f>'Лист ожидания'!G22</f>
        <v>0</v>
      </c>
      <c r="F22" s="463">
        <f>'Лист ожидания'!H22</f>
        <v>0</v>
      </c>
      <c r="G22" s="461">
        <f>'Лист ожидания'!F22</f>
        <v>0</v>
      </c>
      <c r="H22" s="463">
        <f>IF(B22=0,"",'Лист ожидания'!I22)</f>
      </c>
      <c r="I22" s="464">
        <f>'Лист ожидания'!D22</f>
        <v>0</v>
      </c>
      <c r="J22" s="465">
        <f>IF(B22=0,"",CONCATENATE("ОТ ",'Лист ожидания'!K22))</f>
      </c>
      <c r="K22" s="548"/>
      <c r="L22" s="549"/>
      <c r="M22" s="466">
        <f>IF(B22=0,"",Установка!$C$14)</f>
      </c>
      <c r="N22" s="467"/>
    </row>
    <row r="23" spans="1:14" ht="21" customHeight="1">
      <c r="A23" s="461">
        <v>12</v>
      </c>
      <c r="B23" s="551">
        <f>'Лист ожидания'!E23</f>
        <v>0</v>
      </c>
      <c r="C23" s="552"/>
      <c r="D23" s="553"/>
      <c r="E23" s="462">
        <f>'Лист ожидания'!G23</f>
        <v>0</v>
      </c>
      <c r="F23" s="463">
        <f>'Лист ожидания'!H23</f>
        <v>0</v>
      </c>
      <c r="G23" s="461">
        <f>'Лист ожидания'!F23</f>
        <v>0</v>
      </c>
      <c r="H23" s="463">
        <f>IF(B23=0,"",'Лист ожидания'!I23)</f>
      </c>
      <c r="I23" s="464">
        <f>'Лист ожидания'!D23</f>
        <v>0</v>
      </c>
      <c r="J23" s="465">
        <f>IF(B23=0,"",CONCATENATE("ОТ ",'Лист ожидания'!K23))</f>
      </c>
      <c r="K23" s="548"/>
      <c r="L23" s="549"/>
      <c r="M23" s="466">
        <f>IF(B23=0,"",Установка!$C$14)</f>
      </c>
      <c r="N23" s="467"/>
    </row>
    <row r="24" spans="1:14" ht="21" customHeight="1">
      <c r="A24" s="461">
        <v>13</v>
      </c>
      <c r="B24" s="551">
        <f>'Лист ожидания'!E24</f>
        <v>0</v>
      </c>
      <c r="C24" s="552"/>
      <c r="D24" s="553"/>
      <c r="E24" s="462">
        <f>'Лист ожидания'!G24</f>
        <v>0</v>
      </c>
      <c r="F24" s="463">
        <f>'Лист ожидания'!H24</f>
        <v>0</v>
      </c>
      <c r="G24" s="461">
        <f>'Лист ожидания'!F24</f>
        <v>0</v>
      </c>
      <c r="H24" s="463">
        <f>IF(B24=0,"",'Лист ожидания'!I24)</f>
      </c>
      <c r="I24" s="464">
        <f>'Лист ожидания'!D24</f>
        <v>0</v>
      </c>
      <c r="J24" s="465">
        <f>IF(B24=0,"",CONCATENATE("ОТ ",'Лист ожидания'!K24))</f>
      </c>
      <c r="K24" s="548"/>
      <c r="L24" s="549"/>
      <c r="M24" s="466">
        <f>IF(B24=0,"",Установка!$C$14)</f>
      </c>
      <c r="N24" s="467"/>
    </row>
    <row r="25" spans="1:14" ht="21" customHeight="1">
      <c r="A25" s="461">
        <v>14</v>
      </c>
      <c r="B25" s="551">
        <f>'Лист ожидания'!E25</f>
        <v>0</v>
      </c>
      <c r="C25" s="552"/>
      <c r="D25" s="553"/>
      <c r="E25" s="462">
        <f>'Лист ожидания'!G25</f>
        <v>0</v>
      </c>
      <c r="F25" s="463">
        <f>'Лист ожидания'!H25</f>
        <v>0</v>
      </c>
      <c r="G25" s="461">
        <f>'Лист ожидания'!F25</f>
        <v>0</v>
      </c>
      <c r="H25" s="463">
        <f>IF(B25=0,"",'Лист ожидания'!I25)</f>
      </c>
      <c r="I25" s="464">
        <f>'Лист ожидания'!D25</f>
        <v>0</v>
      </c>
      <c r="J25" s="465">
        <f>IF(B25=0,"",CONCATENATE("ОТ ",'Лист ожидания'!K25))</f>
      </c>
      <c r="K25" s="548"/>
      <c r="L25" s="549"/>
      <c r="M25" s="466">
        <f>IF(B25=0,"",Установка!$C$14)</f>
      </c>
      <c r="N25" s="467"/>
    </row>
    <row r="26" spans="1:14" ht="21" customHeight="1">
      <c r="A26" s="461">
        <v>15</v>
      </c>
      <c r="B26" s="551">
        <f>'Лист ожидания'!E26</f>
        <v>0</v>
      </c>
      <c r="C26" s="552"/>
      <c r="D26" s="553"/>
      <c r="E26" s="462">
        <f>'Лист ожидания'!G26</f>
        <v>0</v>
      </c>
      <c r="F26" s="463">
        <f>'Лист ожидания'!H26</f>
        <v>0</v>
      </c>
      <c r="G26" s="461">
        <f>'Лист ожидания'!F26</f>
        <v>0</v>
      </c>
      <c r="H26" s="463">
        <f>IF(B26=0,"",'Лист ожидания'!I26)</f>
      </c>
      <c r="I26" s="464">
        <f>'Лист ожидания'!D26</f>
        <v>0</v>
      </c>
      <c r="J26" s="465">
        <f>IF(B26=0,"",CONCATENATE("ОТ ",'Лист ожидания'!K26))</f>
      </c>
      <c r="K26" s="548"/>
      <c r="L26" s="549"/>
      <c r="M26" s="466">
        <f>IF(B26=0,"",Установка!$C$14)</f>
      </c>
      <c r="N26" s="467"/>
    </row>
    <row r="27" spans="1:14" ht="21" customHeight="1">
      <c r="A27" s="461">
        <v>16</v>
      </c>
      <c r="B27" s="551">
        <f>'Лист ожидания'!E27</f>
        <v>0</v>
      </c>
      <c r="C27" s="552"/>
      <c r="D27" s="553"/>
      <c r="E27" s="462">
        <f>'Лист ожидания'!G27</f>
        <v>0</v>
      </c>
      <c r="F27" s="463">
        <f>'Лист ожидания'!H27</f>
        <v>0</v>
      </c>
      <c r="G27" s="461">
        <f>'Лист ожидания'!F27</f>
        <v>0</v>
      </c>
      <c r="H27" s="463">
        <f>IF(B27=0,"",'Лист ожидания'!I27)</f>
      </c>
      <c r="I27" s="464">
        <f>'Лист ожидания'!D27</f>
        <v>0</v>
      </c>
      <c r="J27" s="465">
        <f>IF(B27=0,"",CONCATENATE("ОТ ",'Лист ожидания'!K27))</f>
      </c>
      <c r="K27" s="548"/>
      <c r="L27" s="549"/>
      <c r="M27" s="466">
        <f>IF(B27=0,"",Установка!$C$14)</f>
      </c>
      <c r="N27" s="467"/>
    </row>
    <row r="28" spans="1:14" ht="21" customHeight="1">
      <c r="A28" s="461">
        <v>17</v>
      </c>
      <c r="B28" s="551">
        <f>'Лист ожидания'!E28</f>
        <v>0</v>
      </c>
      <c r="C28" s="552"/>
      <c r="D28" s="553"/>
      <c r="E28" s="462">
        <f>'Лист ожидания'!G28</f>
        <v>0</v>
      </c>
      <c r="F28" s="463">
        <f>'Лист ожидания'!H28</f>
        <v>0</v>
      </c>
      <c r="G28" s="461">
        <f>'Лист ожидания'!F28</f>
        <v>0</v>
      </c>
      <c r="H28" s="463">
        <f>IF(B28=0,"",'Лист ожидания'!I28)</f>
      </c>
      <c r="I28" s="464">
        <f>'Лист ожидания'!D28</f>
        <v>0</v>
      </c>
      <c r="J28" s="465">
        <f>IF(B28=0,"",CONCATENATE("ОТ ",'Лист ожидания'!K28))</f>
      </c>
      <c r="K28" s="548"/>
      <c r="L28" s="549"/>
      <c r="M28" s="466">
        <f>IF(B28=0,"",Установка!$C$14)</f>
      </c>
      <c r="N28" s="467"/>
    </row>
    <row r="29" spans="1:14" ht="21" customHeight="1">
      <c r="A29" s="461">
        <v>18</v>
      </c>
      <c r="B29" s="551">
        <f>'Лист ожидания'!E29</f>
        <v>0</v>
      </c>
      <c r="C29" s="552"/>
      <c r="D29" s="553"/>
      <c r="E29" s="462">
        <f>'Лист ожидания'!G29</f>
        <v>0</v>
      </c>
      <c r="F29" s="463">
        <f>'Лист ожидания'!H29</f>
        <v>0</v>
      </c>
      <c r="G29" s="461">
        <f>'Лист ожидания'!F29</f>
        <v>0</v>
      </c>
      <c r="H29" s="463">
        <f>IF(B29=0,"",'Лист ожидания'!I29)</f>
      </c>
      <c r="I29" s="464">
        <f>'Лист ожидания'!D29</f>
        <v>0</v>
      </c>
      <c r="J29" s="465">
        <f>IF(B29=0,"",CONCATENATE("ОТ ",'Лист ожидания'!K29))</f>
      </c>
      <c r="K29" s="548"/>
      <c r="L29" s="549"/>
      <c r="M29" s="466">
        <f>IF(B29=0,"",Установка!$C$14)</f>
      </c>
      <c r="N29" s="467"/>
    </row>
    <row r="30" spans="1:14" ht="21" customHeight="1">
      <c r="A30" s="461">
        <v>19</v>
      </c>
      <c r="B30" s="551">
        <f>'Лист ожидания'!E30</f>
        <v>0</v>
      </c>
      <c r="C30" s="552"/>
      <c r="D30" s="553"/>
      <c r="E30" s="462">
        <f>'Лист ожидания'!G30</f>
        <v>0</v>
      </c>
      <c r="F30" s="463">
        <f>'Лист ожидания'!H30</f>
        <v>0</v>
      </c>
      <c r="G30" s="461">
        <f>'Лист ожидания'!F30</f>
        <v>0</v>
      </c>
      <c r="H30" s="463">
        <f>IF(B30=0,"",'Лист ожидания'!I30)</f>
      </c>
      <c r="I30" s="464">
        <f>'Лист ожидания'!D30</f>
        <v>0</v>
      </c>
      <c r="J30" s="465">
        <f>IF(B30=0,"",CONCATENATE("ОТ ",'Лист ожидания'!K30))</f>
      </c>
      <c r="K30" s="548"/>
      <c r="L30" s="549"/>
      <c r="M30" s="466">
        <f>IF(B30=0,"",Установка!$C$14)</f>
      </c>
      <c r="N30" s="467"/>
    </row>
    <row r="31" spans="1:14" ht="21" customHeight="1">
      <c r="A31" s="461">
        <v>20</v>
      </c>
      <c r="B31" s="551">
        <f>'Лист ожидания'!E31</f>
        <v>0</v>
      </c>
      <c r="C31" s="552"/>
      <c r="D31" s="553"/>
      <c r="E31" s="462">
        <f>'Лист ожидания'!G31</f>
        <v>0</v>
      </c>
      <c r="F31" s="463">
        <f>'Лист ожидания'!H31</f>
        <v>0</v>
      </c>
      <c r="G31" s="461">
        <f>'Лист ожидания'!F31</f>
        <v>0</v>
      </c>
      <c r="H31" s="463">
        <f>IF(B31=0,"",'Лист ожидания'!I31)</f>
      </c>
      <c r="I31" s="464">
        <f>'Лист ожидания'!D31</f>
        <v>0</v>
      </c>
      <c r="J31" s="465">
        <f>IF(B31=0,"",CONCATENATE("ОТ ",'Лист ожидания'!K31))</f>
      </c>
      <c r="K31" s="548"/>
      <c r="L31" s="549"/>
      <c r="M31" s="466">
        <f>IF(B31=0,"",Установка!$C$14)</f>
      </c>
      <c r="N31" s="467"/>
    </row>
    <row r="32" spans="1:14" ht="21" customHeight="1">
      <c r="A32" s="461">
        <v>21</v>
      </c>
      <c r="B32" s="551">
        <f>'Лист ожидания'!E32</f>
        <v>0</v>
      </c>
      <c r="C32" s="552"/>
      <c r="D32" s="553"/>
      <c r="E32" s="462">
        <f>'Лист ожидания'!G32</f>
        <v>0</v>
      </c>
      <c r="F32" s="463">
        <f>'Лист ожидания'!H32</f>
        <v>0</v>
      </c>
      <c r="G32" s="461">
        <f>'Лист ожидания'!F32</f>
        <v>0</v>
      </c>
      <c r="H32" s="463">
        <f>IF(B32=0,"",'Лист ожидания'!I32)</f>
      </c>
      <c r="I32" s="464">
        <f>'Лист ожидания'!D32</f>
        <v>0</v>
      </c>
      <c r="J32" s="465">
        <f>IF(B32=0,"",CONCATENATE("ОТ ",'Лист ожидания'!K32))</f>
      </c>
      <c r="K32" s="548"/>
      <c r="L32" s="549"/>
      <c r="M32" s="466">
        <f>IF(B32=0,"",Установка!$C$14)</f>
      </c>
      <c r="N32" s="467"/>
    </row>
    <row r="33" spans="1:14" ht="21" customHeight="1">
      <c r="A33" s="461">
        <v>22</v>
      </c>
      <c r="B33" s="551">
        <f>'Лист ожидания'!E33</f>
        <v>0</v>
      </c>
      <c r="C33" s="552"/>
      <c r="D33" s="553"/>
      <c r="E33" s="462">
        <f>'Лист ожидания'!G33</f>
        <v>0</v>
      </c>
      <c r="F33" s="463">
        <f>'Лист ожидания'!H33</f>
        <v>0</v>
      </c>
      <c r="G33" s="461">
        <f>'Лист ожидания'!F33</f>
        <v>0</v>
      </c>
      <c r="H33" s="463">
        <f>IF(B33=0,"",'Лист ожидания'!I33)</f>
      </c>
      <c r="I33" s="464">
        <f>'Лист ожидания'!D33</f>
        <v>0</v>
      </c>
      <c r="J33" s="465">
        <f>IF(B33=0,"",CONCATENATE("ОТ ",'Лист ожидания'!K33))</f>
      </c>
      <c r="K33" s="548"/>
      <c r="L33" s="549"/>
      <c r="M33" s="466">
        <f>IF(B33=0,"",Установка!$C$14)</f>
      </c>
      <c r="N33" s="467"/>
    </row>
    <row r="34" spans="1:14" ht="21" customHeight="1">
      <c r="A34" s="461">
        <v>23</v>
      </c>
      <c r="B34" s="551">
        <f>'Лист ожидания'!E34</f>
        <v>0</v>
      </c>
      <c r="C34" s="552"/>
      <c r="D34" s="553"/>
      <c r="E34" s="462">
        <f>'Лист ожидания'!G34</f>
        <v>0</v>
      </c>
      <c r="F34" s="463">
        <f>'Лист ожидания'!H34</f>
        <v>0</v>
      </c>
      <c r="G34" s="461">
        <f>'Лист ожидания'!F34</f>
        <v>0</v>
      </c>
      <c r="H34" s="463">
        <f>IF(B34=0,"",'Лист ожидания'!I34)</f>
      </c>
      <c r="I34" s="464">
        <f>'Лист ожидания'!D34</f>
        <v>0</v>
      </c>
      <c r="J34" s="465">
        <f>IF(B34=0,"",CONCATENATE("ОТ ",'Лист ожидания'!K34))</f>
      </c>
      <c r="K34" s="548"/>
      <c r="L34" s="549"/>
      <c r="M34" s="466">
        <f>IF(B34=0,"",Установка!$C$14)</f>
      </c>
      <c r="N34" s="467"/>
    </row>
    <row r="35" spans="1:14" ht="21" customHeight="1">
      <c r="A35" s="461">
        <v>24</v>
      </c>
      <c r="B35" s="551">
        <f>'Лист ожидания'!E35</f>
        <v>0</v>
      </c>
      <c r="C35" s="552"/>
      <c r="D35" s="553"/>
      <c r="E35" s="462">
        <f>'Лист ожидания'!G35</f>
        <v>0</v>
      </c>
      <c r="F35" s="463">
        <f>'Лист ожидания'!H35</f>
        <v>0</v>
      </c>
      <c r="G35" s="461">
        <f>'Лист ожидания'!F35</f>
        <v>0</v>
      </c>
      <c r="H35" s="463">
        <f>IF(B35=0,"",'Лист ожидания'!I35)</f>
      </c>
      <c r="I35" s="464">
        <f>'Лист ожидания'!D35</f>
        <v>0</v>
      </c>
      <c r="J35" s="465">
        <f>IF(B35=0,"",CONCATENATE("ОТ ",'Лист ожидания'!K35))</f>
      </c>
      <c r="K35" s="548"/>
      <c r="L35" s="549"/>
      <c r="M35" s="466">
        <f>IF(B35=0,"",Установка!$C$14)</f>
      </c>
      <c r="N35" s="467"/>
    </row>
    <row r="36" spans="1:14" ht="21" customHeight="1">
      <c r="A36" s="461">
        <v>25</v>
      </c>
      <c r="B36" s="551">
        <f>'Лист ожидания'!E36</f>
        <v>0</v>
      </c>
      <c r="C36" s="552"/>
      <c r="D36" s="553"/>
      <c r="E36" s="462">
        <f>'Лист ожидания'!G36</f>
        <v>0</v>
      </c>
      <c r="F36" s="463">
        <f>'Лист ожидания'!H36</f>
        <v>0</v>
      </c>
      <c r="G36" s="461">
        <f>'Лист ожидания'!F36</f>
        <v>0</v>
      </c>
      <c r="H36" s="463">
        <f>IF(B36=0,"",'Лист ожидания'!I36)</f>
      </c>
      <c r="I36" s="464">
        <f>'Лист ожидания'!D36</f>
        <v>0</v>
      </c>
      <c r="J36" s="465">
        <f>IF(B36=0,"",CONCATENATE("ОТ ",'Лист ожидания'!K36))</f>
      </c>
      <c r="K36" s="548"/>
      <c r="L36" s="549"/>
      <c r="M36" s="466">
        <f>IF(B36=0,"",Установка!$C$14)</f>
      </c>
      <c r="N36" s="467"/>
    </row>
    <row r="37" spans="1:14" ht="21" customHeight="1">
      <c r="A37" s="461">
        <v>26</v>
      </c>
      <c r="B37" s="551">
        <f>'Лист ожидания'!E37</f>
        <v>0</v>
      </c>
      <c r="C37" s="552"/>
      <c r="D37" s="553"/>
      <c r="E37" s="462">
        <f>'Лист ожидания'!G37</f>
        <v>0</v>
      </c>
      <c r="F37" s="463">
        <f>'Лист ожидания'!H37</f>
        <v>0</v>
      </c>
      <c r="G37" s="461">
        <f>'Лист ожидания'!F37</f>
        <v>0</v>
      </c>
      <c r="H37" s="463">
        <f>IF(B37=0,"",'Лист ожидания'!I37)</f>
      </c>
      <c r="I37" s="464">
        <f>'Лист ожидания'!D37</f>
        <v>0</v>
      </c>
      <c r="J37" s="465">
        <f>IF(B37=0,"",CONCATENATE("ОТ ",'Лист ожидания'!K37))</f>
      </c>
      <c r="K37" s="548"/>
      <c r="L37" s="549"/>
      <c r="M37" s="466">
        <f>IF(B37=0,"",Установка!$C$14)</f>
      </c>
      <c r="N37" s="467"/>
    </row>
    <row r="38" spans="1:14" ht="21" customHeight="1">
      <c r="A38" s="461">
        <v>27</v>
      </c>
      <c r="B38" s="551">
        <f>'Лист ожидания'!E38</f>
        <v>0</v>
      </c>
      <c r="C38" s="552"/>
      <c r="D38" s="553"/>
      <c r="E38" s="462">
        <f>'Лист ожидания'!G38</f>
        <v>0</v>
      </c>
      <c r="F38" s="463">
        <f>'Лист ожидания'!H38</f>
        <v>0</v>
      </c>
      <c r="G38" s="461">
        <f>'Лист ожидания'!F38</f>
        <v>0</v>
      </c>
      <c r="H38" s="463">
        <f>IF(B38=0,"",'Лист ожидания'!I38)</f>
      </c>
      <c r="I38" s="464">
        <f>'Лист ожидания'!D38</f>
        <v>0</v>
      </c>
      <c r="J38" s="465">
        <f>IF(B38=0,"",CONCATENATE("ОТ ",'Лист ожидания'!K38))</f>
      </c>
      <c r="K38" s="548"/>
      <c r="L38" s="549"/>
      <c r="M38" s="466">
        <f>IF(B38=0,"",Установка!$C$14)</f>
      </c>
      <c r="N38" s="467"/>
    </row>
    <row r="39" spans="1:14" ht="21" customHeight="1">
      <c r="A39" s="461">
        <v>28</v>
      </c>
      <c r="B39" s="551">
        <f>'Лист ожидания'!E39</f>
        <v>0</v>
      </c>
      <c r="C39" s="552"/>
      <c r="D39" s="553"/>
      <c r="E39" s="462">
        <f>'Лист ожидания'!G39</f>
        <v>0</v>
      </c>
      <c r="F39" s="463">
        <f>'Лист ожидания'!H39</f>
        <v>0</v>
      </c>
      <c r="G39" s="461">
        <f>'Лист ожидания'!F39</f>
        <v>0</v>
      </c>
      <c r="H39" s="463">
        <f>IF(B39=0,"",'Лист ожидания'!I39)</f>
      </c>
      <c r="I39" s="464">
        <f>'Лист ожидания'!D39</f>
        <v>0</v>
      </c>
      <c r="J39" s="465">
        <f>IF(B39=0,"",CONCATENATE("ОТ ",'Лист ожидания'!K39))</f>
      </c>
      <c r="K39" s="548"/>
      <c r="L39" s="549"/>
      <c r="M39" s="466">
        <f>IF(B39=0,"",Установка!$C$14)</f>
      </c>
      <c r="N39" s="467"/>
    </row>
    <row r="40" spans="1:14" ht="21" customHeight="1">
      <c r="A40" s="461">
        <v>29</v>
      </c>
      <c r="B40" s="551">
        <f>'Лист ожидания'!E40</f>
        <v>0</v>
      </c>
      <c r="C40" s="552"/>
      <c r="D40" s="553"/>
      <c r="E40" s="462">
        <f>'Лист ожидания'!G40</f>
        <v>0</v>
      </c>
      <c r="F40" s="463">
        <f>'Лист ожидания'!H40</f>
        <v>0</v>
      </c>
      <c r="G40" s="461">
        <f>'Лист ожидания'!F40</f>
        <v>0</v>
      </c>
      <c r="H40" s="463">
        <f>IF(B40=0,"",'Лист ожидания'!I40)</f>
      </c>
      <c r="I40" s="464">
        <f>'Лист ожидания'!D40</f>
        <v>0</v>
      </c>
      <c r="J40" s="465">
        <f>IF(B40=0,"",CONCATENATE("ОТ ",'Лист ожидания'!K40))</f>
      </c>
      <c r="K40" s="548"/>
      <c r="L40" s="549"/>
      <c r="M40" s="466">
        <f>IF(B40=0,"",Установка!$C$14)</f>
      </c>
      <c r="N40" s="467"/>
    </row>
    <row r="41" spans="1:14" ht="21" customHeight="1">
      <c r="A41" s="461">
        <v>30</v>
      </c>
      <c r="B41" s="551">
        <f>'Лист ожидания'!E41</f>
        <v>0</v>
      </c>
      <c r="C41" s="552"/>
      <c r="D41" s="553"/>
      <c r="E41" s="462">
        <f>'Лист ожидания'!G41</f>
        <v>0</v>
      </c>
      <c r="F41" s="463">
        <f>'Лист ожидания'!H41</f>
        <v>0</v>
      </c>
      <c r="G41" s="461">
        <f>'Лист ожидания'!F41</f>
        <v>0</v>
      </c>
      <c r="H41" s="463">
        <f>IF(B41=0,"",'Лист ожидания'!I41)</f>
      </c>
      <c r="I41" s="464">
        <f>'Лист ожидания'!D41</f>
        <v>0</v>
      </c>
      <c r="J41" s="465">
        <f>IF(B41=0,"",CONCATENATE("ОТ ",'Лист ожидания'!K41))</f>
      </c>
      <c r="K41" s="548"/>
      <c r="L41" s="549"/>
      <c r="M41" s="466">
        <f>IF(B41=0,"",Установка!$C$14)</f>
      </c>
      <c r="N41" s="467"/>
    </row>
    <row r="42" spans="1:14" ht="21" customHeight="1">
      <c r="A42" s="461">
        <v>31</v>
      </c>
      <c r="B42" s="551">
        <f>'Лист ожидания'!E42</f>
        <v>0</v>
      </c>
      <c r="C42" s="552"/>
      <c r="D42" s="553"/>
      <c r="E42" s="462">
        <f>'Лист ожидания'!G42</f>
        <v>0</v>
      </c>
      <c r="F42" s="463">
        <f>'Лист ожидания'!H42</f>
        <v>0</v>
      </c>
      <c r="G42" s="461">
        <f>'Лист ожидания'!F42</f>
        <v>0</v>
      </c>
      <c r="H42" s="463">
        <f>IF(B42=0,"",'Лист ожидания'!I42)</f>
      </c>
      <c r="I42" s="464">
        <f>'Лист ожидания'!D42</f>
        <v>0</v>
      </c>
      <c r="J42" s="465">
        <f>IF(B42=0,"",CONCATENATE("ОТ ",'Лист ожидания'!K42))</f>
      </c>
      <c r="K42" s="548"/>
      <c r="L42" s="549"/>
      <c r="M42" s="466">
        <f>IF(B42=0,"",Установка!$C$14)</f>
      </c>
      <c r="N42" s="467"/>
    </row>
    <row r="43" spans="1:14" ht="21" customHeight="1">
      <c r="A43" s="461">
        <v>32</v>
      </c>
      <c r="B43" s="551">
        <f>'Лист ожидания'!E43</f>
        <v>0</v>
      </c>
      <c r="C43" s="552"/>
      <c r="D43" s="553"/>
      <c r="E43" s="462">
        <f>'Лист ожидания'!G43</f>
        <v>0</v>
      </c>
      <c r="F43" s="463">
        <f>'Лист ожидания'!H43</f>
        <v>0</v>
      </c>
      <c r="G43" s="461">
        <f>'Лист ожидания'!F43</f>
        <v>0</v>
      </c>
      <c r="H43" s="463">
        <f>IF(B43=0,"",'Лист ожидания'!I43)</f>
      </c>
      <c r="I43" s="464">
        <f>'Лист ожидания'!D43</f>
        <v>0</v>
      </c>
      <c r="J43" s="465">
        <f>IF(B43=0,"",CONCATENATE("ОТ ",'Лист ожидания'!K43))</f>
      </c>
      <c r="K43" s="548"/>
      <c r="L43" s="549"/>
      <c r="M43" s="466">
        <f>IF(B43=0,"",Установка!$C$14)</f>
      </c>
      <c r="N43" s="467"/>
    </row>
    <row r="44" spans="1:14" ht="21" customHeight="1">
      <c r="A44" s="461">
        <v>33</v>
      </c>
      <c r="B44" s="551">
        <f>'Лист ожидания'!E44</f>
        <v>0</v>
      </c>
      <c r="C44" s="552"/>
      <c r="D44" s="553"/>
      <c r="E44" s="462">
        <f>'Лист ожидания'!G44</f>
        <v>0</v>
      </c>
      <c r="F44" s="463">
        <f>'Лист ожидания'!H44</f>
        <v>0</v>
      </c>
      <c r="G44" s="461">
        <f>'Лист ожидания'!F44</f>
        <v>0</v>
      </c>
      <c r="H44" s="463">
        <f>IF(B44=0,"",'Лист ожидания'!I44)</f>
      </c>
      <c r="I44" s="464">
        <f>'Лист ожидания'!D44</f>
        <v>0</v>
      </c>
      <c r="J44" s="465">
        <f>IF(B44=0,"",CONCATENATE("ОТ ",'Лист ожидания'!K44))</f>
      </c>
      <c r="K44" s="548"/>
      <c r="L44" s="549"/>
      <c r="M44" s="466">
        <f>IF(B44=0,"",Установка!$C$14)</f>
      </c>
      <c r="N44" s="467"/>
    </row>
    <row r="45" spans="1:14" ht="21" customHeight="1">
      <c r="A45" s="461">
        <v>34</v>
      </c>
      <c r="B45" s="551">
        <f>'Лист ожидания'!E45</f>
        <v>0</v>
      </c>
      <c r="C45" s="552"/>
      <c r="D45" s="553"/>
      <c r="E45" s="462">
        <f>'Лист ожидания'!G45</f>
        <v>0</v>
      </c>
      <c r="F45" s="463">
        <f>'Лист ожидания'!H45</f>
        <v>0</v>
      </c>
      <c r="G45" s="461">
        <f>'Лист ожидания'!F45</f>
        <v>0</v>
      </c>
      <c r="H45" s="463">
        <f>IF(B45=0,"",'Лист ожидания'!I45)</f>
      </c>
      <c r="I45" s="464">
        <f>'Лист ожидания'!D45</f>
        <v>0</v>
      </c>
      <c r="J45" s="465">
        <f>IF(B45=0,"",CONCATENATE("ОТ ",'Лист ожидания'!K45))</f>
      </c>
      <c r="K45" s="548"/>
      <c r="L45" s="549"/>
      <c r="M45" s="466">
        <f>IF(B45=0,"",Установка!$C$14)</f>
      </c>
      <c r="N45" s="467"/>
    </row>
    <row r="46" spans="1:14" ht="21" customHeight="1">
      <c r="A46" s="461">
        <v>35</v>
      </c>
      <c r="B46" s="551">
        <f>'Лист ожидания'!E46</f>
        <v>0</v>
      </c>
      <c r="C46" s="552"/>
      <c r="D46" s="553"/>
      <c r="E46" s="462">
        <f>'Лист ожидания'!G46</f>
        <v>0</v>
      </c>
      <c r="F46" s="463">
        <f>'Лист ожидания'!H46</f>
        <v>0</v>
      </c>
      <c r="G46" s="461">
        <f>'Лист ожидания'!F46</f>
        <v>0</v>
      </c>
      <c r="H46" s="463">
        <f>IF(B46=0,"",'Лист ожидания'!I46)</f>
      </c>
      <c r="I46" s="464">
        <f>'Лист ожидания'!D46</f>
        <v>0</v>
      </c>
      <c r="J46" s="465">
        <f>IF(B46=0,"",CONCATENATE("ОТ ",'Лист ожидания'!K46))</f>
      </c>
      <c r="K46" s="548"/>
      <c r="L46" s="549"/>
      <c r="M46" s="466">
        <f>IF(B46=0,"",Установка!$C$14)</f>
      </c>
      <c r="N46" s="467"/>
    </row>
    <row r="47" spans="1:14" ht="21" customHeight="1">
      <c r="A47" s="461">
        <v>36</v>
      </c>
      <c r="B47" s="551">
        <f>'Лист ожидания'!E47</f>
        <v>0</v>
      </c>
      <c r="C47" s="552"/>
      <c r="D47" s="553"/>
      <c r="E47" s="462">
        <f>'Лист ожидания'!G47</f>
        <v>0</v>
      </c>
      <c r="F47" s="463">
        <f>'Лист ожидания'!H47</f>
        <v>0</v>
      </c>
      <c r="G47" s="461">
        <f>'Лист ожидания'!F47</f>
        <v>0</v>
      </c>
      <c r="H47" s="463">
        <f>IF(B47=0,"",'Лист ожидания'!I47)</f>
      </c>
      <c r="I47" s="464">
        <f>'Лист ожидания'!D47</f>
        <v>0</v>
      </c>
      <c r="J47" s="465">
        <f>IF(B47=0,"",CONCATENATE("ОТ ",'Лист ожидания'!K47))</f>
      </c>
      <c r="K47" s="548"/>
      <c r="L47" s="549"/>
      <c r="M47" s="466">
        <f>IF(B47=0,"",Установка!$C$14)</f>
      </c>
      <c r="N47" s="467"/>
    </row>
    <row r="48" spans="1:14" ht="21" customHeight="1">
      <c r="A48" s="461">
        <v>37</v>
      </c>
      <c r="B48" s="551">
        <f>'Лист ожидания'!E48</f>
        <v>0</v>
      </c>
      <c r="C48" s="552"/>
      <c r="D48" s="553"/>
      <c r="E48" s="462">
        <f>'Лист ожидания'!G48</f>
        <v>0</v>
      </c>
      <c r="F48" s="463">
        <f>'Лист ожидания'!H48</f>
        <v>0</v>
      </c>
      <c r="G48" s="461">
        <f>'Лист ожидания'!F48</f>
        <v>0</v>
      </c>
      <c r="H48" s="463">
        <f>IF(B48=0,"",'Лист ожидания'!I48)</f>
      </c>
      <c r="I48" s="464">
        <f>'Лист ожидания'!D48</f>
        <v>0</v>
      </c>
      <c r="J48" s="465">
        <f>IF(B48=0,"",CONCATENATE("ОТ ",'Лист ожидания'!K48))</f>
      </c>
      <c r="K48" s="548"/>
      <c r="L48" s="549"/>
      <c r="M48" s="466">
        <f>IF(B48=0,"",Установка!$C$14)</f>
      </c>
      <c r="N48" s="467"/>
    </row>
    <row r="49" spans="1:14" ht="21" customHeight="1">
      <c r="A49" s="461">
        <v>38</v>
      </c>
      <c r="B49" s="551">
        <f>'Лист ожидания'!E49</f>
        <v>0</v>
      </c>
      <c r="C49" s="552"/>
      <c r="D49" s="553"/>
      <c r="E49" s="462">
        <f>'Лист ожидания'!G49</f>
        <v>0</v>
      </c>
      <c r="F49" s="463">
        <f>'Лист ожидания'!H49</f>
        <v>0</v>
      </c>
      <c r="G49" s="461">
        <f>'Лист ожидания'!F49</f>
        <v>0</v>
      </c>
      <c r="H49" s="463">
        <f>IF(B49=0,"",'Лист ожидания'!I49)</f>
      </c>
      <c r="I49" s="464">
        <f>'Лист ожидания'!D49</f>
        <v>0</v>
      </c>
      <c r="J49" s="465">
        <f>IF(B49=0,"",CONCATENATE("ОТ ",'Лист ожидания'!K49))</f>
      </c>
      <c r="K49" s="548"/>
      <c r="L49" s="549"/>
      <c r="M49" s="466">
        <f>IF(B49=0,"",Установка!$C$14)</f>
      </c>
      <c r="N49" s="467"/>
    </row>
    <row r="50" spans="1:14" ht="21" customHeight="1">
      <c r="A50" s="461">
        <v>39</v>
      </c>
      <c r="B50" s="551">
        <f>'Лист ожидания'!E50</f>
        <v>0</v>
      </c>
      <c r="C50" s="552"/>
      <c r="D50" s="553"/>
      <c r="E50" s="462">
        <f>'Лист ожидания'!G50</f>
        <v>0</v>
      </c>
      <c r="F50" s="463">
        <f>'Лист ожидания'!H50</f>
        <v>0</v>
      </c>
      <c r="G50" s="461">
        <f>'Лист ожидания'!F50</f>
        <v>0</v>
      </c>
      <c r="H50" s="463">
        <f>IF(B50=0,"",'Лист ожидания'!I50)</f>
      </c>
      <c r="I50" s="464">
        <f>'Лист ожидания'!D50</f>
        <v>0</v>
      </c>
      <c r="J50" s="465">
        <f>IF(B50=0,"",CONCATENATE("ОТ ",'Лист ожидания'!K50))</f>
      </c>
      <c r="K50" s="548"/>
      <c r="L50" s="549"/>
      <c r="M50" s="466">
        <f>IF(B50=0,"",Установка!$C$14)</f>
      </c>
      <c r="N50" s="467"/>
    </row>
    <row r="51" spans="1:14" ht="21" customHeight="1">
      <c r="A51" s="461">
        <v>40</v>
      </c>
      <c r="B51" s="551">
        <f>'Лист ожидания'!E51</f>
        <v>0</v>
      </c>
      <c r="C51" s="552"/>
      <c r="D51" s="553"/>
      <c r="E51" s="462">
        <f>'Лист ожидания'!G51</f>
        <v>0</v>
      </c>
      <c r="F51" s="463">
        <f>'Лист ожидания'!H51</f>
        <v>0</v>
      </c>
      <c r="G51" s="461">
        <f>'Лист ожидания'!F51</f>
        <v>0</v>
      </c>
      <c r="H51" s="463">
        <f>IF(B51=0,"",'Лист ожидания'!I51)</f>
      </c>
      <c r="I51" s="464">
        <f>'Лист ожидания'!D51</f>
        <v>0</v>
      </c>
      <c r="J51" s="465">
        <f>IF(B51=0,"",CONCATENATE("ОТ ",'Лист ожидания'!K51))</f>
      </c>
      <c r="K51" s="548"/>
      <c r="L51" s="549"/>
      <c r="M51" s="466">
        <f>IF(B51=0,"",Установка!$C$14)</f>
      </c>
      <c r="N51" s="467"/>
    </row>
    <row r="52" spans="1:14" ht="21" customHeight="1">
      <c r="A52" s="461">
        <v>41</v>
      </c>
      <c r="B52" s="551">
        <f>'Лист ожидания'!E52</f>
        <v>0</v>
      </c>
      <c r="C52" s="552"/>
      <c r="D52" s="553"/>
      <c r="E52" s="462">
        <f>'Лист ожидания'!G52</f>
        <v>0</v>
      </c>
      <c r="F52" s="463">
        <f>'Лист ожидания'!H52</f>
        <v>0</v>
      </c>
      <c r="G52" s="461">
        <f>'Лист ожидания'!F52</f>
        <v>0</v>
      </c>
      <c r="H52" s="463">
        <f>IF(B52=0,"",'Лист ожидания'!I52)</f>
      </c>
      <c r="I52" s="464">
        <f>'Лист ожидания'!D52</f>
        <v>0</v>
      </c>
      <c r="J52" s="465">
        <f>IF(B52=0,"",CONCATENATE("ОТ ",'Лист ожидания'!K52))</f>
      </c>
      <c r="K52" s="548"/>
      <c r="L52" s="549"/>
      <c r="M52" s="466">
        <f>IF(B52=0,"",Установка!$C$14)</f>
      </c>
      <c r="N52" s="467"/>
    </row>
    <row r="53" spans="1:14" ht="21" customHeight="1">
      <c r="A53" s="461">
        <v>42</v>
      </c>
      <c r="B53" s="551">
        <f>'Лист ожидания'!E53</f>
        <v>0</v>
      </c>
      <c r="C53" s="552"/>
      <c r="D53" s="553"/>
      <c r="E53" s="462">
        <f>'Лист ожидания'!G53</f>
        <v>0</v>
      </c>
      <c r="F53" s="463">
        <f>'Лист ожидания'!H53</f>
        <v>0</v>
      </c>
      <c r="G53" s="461">
        <f>'Лист ожидания'!F53</f>
        <v>0</v>
      </c>
      <c r="H53" s="463">
        <f>IF(B53=0,"",'Лист ожидания'!I53)</f>
      </c>
      <c r="I53" s="464">
        <f>'Лист ожидания'!D53</f>
        <v>0</v>
      </c>
      <c r="J53" s="465">
        <f>IF(B53=0,"",CONCATENATE("ОТ ",'Лист ожидания'!K53))</f>
      </c>
      <c r="K53" s="548"/>
      <c r="L53" s="549"/>
      <c r="M53" s="466">
        <f>IF(B53=0,"",Установка!$C$14)</f>
      </c>
      <c r="N53" s="467"/>
    </row>
    <row r="54" spans="1:14" ht="21" customHeight="1">
      <c r="A54" s="461">
        <v>43</v>
      </c>
      <c r="B54" s="551">
        <f>'Лист ожидания'!E54</f>
        <v>0</v>
      </c>
      <c r="C54" s="552"/>
      <c r="D54" s="553"/>
      <c r="E54" s="462">
        <f>'Лист ожидания'!G54</f>
        <v>0</v>
      </c>
      <c r="F54" s="463">
        <f>'Лист ожидания'!H54</f>
        <v>0</v>
      </c>
      <c r="G54" s="461">
        <f>'Лист ожидания'!F54</f>
        <v>0</v>
      </c>
      <c r="H54" s="463">
        <f>IF(B54=0,"",'Лист ожидания'!I54)</f>
      </c>
      <c r="I54" s="464">
        <f>'Лист ожидания'!D54</f>
        <v>0</v>
      </c>
      <c r="J54" s="465">
        <f>IF(B54=0,"",CONCATENATE("ОТ ",'Лист ожидания'!K54))</f>
      </c>
      <c r="K54" s="548"/>
      <c r="L54" s="549"/>
      <c r="M54" s="466">
        <f>IF(B54=0,"",Установка!$C$14)</f>
      </c>
      <c r="N54" s="467"/>
    </row>
    <row r="55" spans="1:14" ht="21" customHeight="1">
      <c r="A55" s="461">
        <v>44</v>
      </c>
      <c r="B55" s="551">
        <f>'Лист ожидания'!E55</f>
        <v>0</v>
      </c>
      <c r="C55" s="552"/>
      <c r="D55" s="553"/>
      <c r="E55" s="462">
        <f>'Лист ожидания'!G55</f>
        <v>0</v>
      </c>
      <c r="F55" s="463">
        <f>'Лист ожидания'!H55</f>
        <v>0</v>
      </c>
      <c r="G55" s="461">
        <f>'Лист ожидания'!F55</f>
        <v>0</v>
      </c>
      <c r="H55" s="463">
        <f>IF(B55=0,"",'Лист ожидания'!I55)</f>
      </c>
      <c r="I55" s="464">
        <f>'Лист ожидания'!D55</f>
        <v>0</v>
      </c>
      <c r="J55" s="465">
        <f>IF(B55=0,"",CONCATENATE("ОТ ",'Лист ожидания'!K55))</f>
      </c>
      <c r="K55" s="548"/>
      <c r="L55" s="549"/>
      <c r="M55" s="466">
        <f>IF(B55=0,"",Установка!$C$14)</f>
      </c>
      <c r="N55" s="467"/>
    </row>
    <row r="56" spans="1:14" ht="21" customHeight="1">
      <c r="A56" s="461">
        <v>45</v>
      </c>
      <c r="B56" s="551">
        <f>'Лист ожидания'!E56</f>
        <v>0</v>
      </c>
      <c r="C56" s="552"/>
      <c r="D56" s="553"/>
      <c r="E56" s="462">
        <f>'Лист ожидания'!G56</f>
        <v>0</v>
      </c>
      <c r="F56" s="463">
        <f>'Лист ожидания'!H56</f>
        <v>0</v>
      </c>
      <c r="G56" s="461">
        <f>'Лист ожидания'!F56</f>
        <v>0</v>
      </c>
      <c r="H56" s="463">
        <f>IF(B56=0,"",'Лист ожидания'!I56)</f>
      </c>
      <c r="I56" s="464">
        <f>'Лист ожидания'!D56</f>
        <v>0</v>
      </c>
      <c r="J56" s="465">
        <f>IF(B56=0,"",CONCATENATE("ОТ ",'Лист ожидания'!K56))</f>
      </c>
      <c r="K56" s="548"/>
      <c r="L56" s="549"/>
      <c r="M56" s="466">
        <f>IF(B56=0,"",Установка!$C$14)</f>
      </c>
      <c r="N56" s="467"/>
    </row>
    <row r="57" spans="1:14" ht="21" customHeight="1">
      <c r="A57" s="461">
        <v>46</v>
      </c>
      <c r="B57" s="551">
        <f>'Лист ожидания'!E57</f>
        <v>0</v>
      </c>
      <c r="C57" s="552"/>
      <c r="D57" s="553"/>
      <c r="E57" s="462">
        <f>'Лист ожидания'!G57</f>
        <v>0</v>
      </c>
      <c r="F57" s="463">
        <f>'Лист ожидания'!H57</f>
        <v>0</v>
      </c>
      <c r="G57" s="461">
        <f>'Лист ожидания'!F57</f>
        <v>0</v>
      </c>
      <c r="H57" s="463">
        <f>IF(B57=0,"",'Лист ожидания'!I57)</f>
      </c>
      <c r="I57" s="464">
        <f>'Лист ожидания'!D57</f>
        <v>0</v>
      </c>
      <c r="J57" s="465">
        <f>IF(B57=0,"",CONCATENATE("ОТ ",'Лист ожидания'!K57))</f>
      </c>
      <c r="K57" s="548"/>
      <c r="L57" s="549"/>
      <c r="M57" s="466">
        <f>IF(B57=0,"",Установка!$C$14)</f>
      </c>
      <c r="N57" s="467"/>
    </row>
    <row r="58" spans="1:14" ht="21" customHeight="1">
      <c r="A58" s="461">
        <v>47</v>
      </c>
      <c r="B58" s="551">
        <f>'Лист ожидания'!E58</f>
        <v>0</v>
      </c>
      <c r="C58" s="552"/>
      <c r="D58" s="553"/>
      <c r="E58" s="462">
        <f>'Лист ожидания'!G58</f>
        <v>0</v>
      </c>
      <c r="F58" s="463">
        <f>'Лист ожидания'!H58</f>
        <v>0</v>
      </c>
      <c r="G58" s="461">
        <f>'Лист ожидания'!F58</f>
        <v>0</v>
      </c>
      <c r="H58" s="463">
        <f>IF(B58=0,"",'Лист ожидания'!I58)</f>
      </c>
      <c r="I58" s="464">
        <f>'Лист ожидания'!D58</f>
        <v>0</v>
      </c>
      <c r="J58" s="465">
        <f>IF(B58=0,"",CONCATENATE("ОТ ",'Лист ожидания'!K58))</f>
      </c>
      <c r="K58" s="548"/>
      <c r="L58" s="549"/>
      <c r="M58" s="466">
        <f>IF(B58=0,"",Установка!$C$14)</f>
      </c>
      <c r="N58" s="467"/>
    </row>
    <row r="59" spans="1:14" ht="21" customHeight="1">
      <c r="A59" s="461">
        <v>48</v>
      </c>
      <c r="B59" s="551">
        <f>'Лист ожидания'!E59</f>
        <v>0</v>
      </c>
      <c r="C59" s="552"/>
      <c r="D59" s="553"/>
      <c r="E59" s="462">
        <f>'Лист ожидания'!G59</f>
        <v>0</v>
      </c>
      <c r="F59" s="463">
        <f>'Лист ожидания'!H59</f>
        <v>0</v>
      </c>
      <c r="G59" s="461">
        <f>'Лист ожидания'!F59</f>
        <v>0</v>
      </c>
      <c r="H59" s="463">
        <f>IF(B59=0,"",'Лист ожидания'!I59)</f>
      </c>
      <c r="I59" s="464">
        <f>'Лист ожидания'!D59</f>
        <v>0</v>
      </c>
      <c r="J59" s="465">
        <f>IF(B59=0,"",CONCATENATE("ОТ ",'Лист ожидания'!K59))</f>
      </c>
      <c r="K59" s="548"/>
      <c r="L59" s="549"/>
      <c r="M59" s="466">
        <f>IF(B59=0,"",Установка!$C$14)</f>
      </c>
      <c r="N59" s="467"/>
    </row>
    <row r="60" spans="1:14" ht="21" customHeight="1">
      <c r="A60" s="461">
        <v>49</v>
      </c>
      <c r="B60" s="551">
        <f>'Лист ожидания'!E60</f>
        <v>0</v>
      </c>
      <c r="C60" s="552"/>
      <c r="D60" s="553"/>
      <c r="E60" s="462">
        <f>'Лист ожидания'!G60</f>
        <v>0</v>
      </c>
      <c r="F60" s="463">
        <f>'Лист ожидания'!H60</f>
        <v>0</v>
      </c>
      <c r="G60" s="461">
        <f>'Лист ожидания'!F60</f>
        <v>0</v>
      </c>
      <c r="H60" s="463">
        <f>IF(B60=0,"",'Лист ожидания'!I60)</f>
      </c>
      <c r="I60" s="464">
        <f>'Лист ожидания'!D60</f>
        <v>0</v>
      </c>
      <c r="J60" s="465">
        <f>IF(B60=0,"",CONCATENATE("ОТ ",'Лист ожидания'!K60))</f>
      </c>
      <c r="K60" s="548"/>
      <c r="L60" s="549"/>
      <c r="M60" s="466">
        <f>IF(B60=0,"",Установка!$C$14)</f>
      </c>
      <c r="N60" s="467"/>
    </row>
    <row r="61" spans="1:14" ht="21" customHeight="1">
      <c r="A61" s="461">
        <v>50</v>
      </c>
      <c r="B61" s="551">
        <f>'Лист ожидания'!E61</f>
        <v>0</v>
      </c>
      <c r="C61" s="552"/>
      <c r="D61" s="553"/>
      <c r="E61" s="462">
        <f>'Лист ожидания'!G61</f>
        <v>0</v>
      </c>
      <c r="F61" s="463">
        <f>'Лист ожидания'!H61</f>
        <v>0</v>
      </c>
      <c r="G61" s="461">
        <f>'Лист ожидания'!F61</f>
        <v>0</v>
      </c>
      <c r="H61" s="463">
        <f>IF(B61=0,"",'Лист ожидания'!I61)</f>
      </c>
      <c r="I61" s="464">
        <f>'Лист ожидания'!D61</f>
        <v>0</v>
      </c>
      <c r="J61" s="465">
        <f>IF(B61=0,"",CONCATENATE("ОТ ",'Лист ожидания'!K61))</f>
      </c>
      <c r="K61" s="548"/>
      <c r="L61" s="549"/>
      <c r="M61" s="466">
        <f>IF(B61=0,"",Установка!$C$14)</f>
      </c>
      <c r="N61" s="467"/>
    </row>
    <row r="62" spans="1:14" ht="21" customHeight="1">
      <c r="A62" s="461">
        <v>51</v>
      </c>
      <c r="B62" s="551">
        <f>'Лист ожидания'!E62</f>
        <v>0</v>
      </c>
      <c r="C62" s="552"/>
      <c r="D62" s="553"/>
      <c r="E62" s="462">
        <f>'Лист ожидания'!G62</f>
        <v>0</v>
      </c>
      <c r="F62" s="463">
        <f>'Лист ожидания'!H62</f>
        <v>0</v>
      </c>
      <c r="G62" s="461">
        <f>'Лист ожидания'!F62</f>
        <v>0</v>
      </c>
      <c r="H62" s="463">
        <f>IF(B62=0,"",'Лист ожидания'!I62)</f>
      </c>
      <c r="I62" s="464">
        <f>'Лист ожидания'!D62</f>
        <v>0</v>
      </c>
      <c r="J62" s="465">
        <f>IF(B62=0,"",CONCATENATE("ОТ ",'Лист ожидания'!K62))</f>
      </c>
      <c r="K62" s="548"/>
      <c r="L62" s="549"/>
      <c r="M62" s="466">
        <f>IF(B62=0,"",Установка!$C$14)</f>
      </c>
      <c r="N62" s="467"/>
    </row>
    <row r="63" spans="1:14" ht="21" customHeight="1">
      <c r="A63" s="461">
        <v>52</v>
      </c>
      <c r="B63" s="551">
        <f>'Лист ожидания'!E63</f>
        <v>0</v>
      </c>
      <c r="C63" s="552"/>
      <c r="D63" s="553"/>
      <c r="E63" s="462">
        <f>'Лист ожидания'!G63</f>
        <v>0</v>
      </c>
      <c r="F63" s="463">
        <f>'Лист ожидания'!H63</f>
        <v>0</v>
      </c>
      <c r="G63" s="461">
        <f>'Лист ожидания'!F63</f>
        <v>0</v>
      </c>
      <c r="H63" s="463">
        <f>IF(B63=0,"",'Лист ожидания'!I63)</f>
      </c>
      <c r="I63" s="464">
        <f>'Лист ожидания'!D63</f>
        <v>0</v>
      </c>
      <c r="J63" s="465">
        <f>IF(B63=0,"",CONCATENATE("ОТ ",'Лист ожидания'!K63))</f>
      </c>
      <c r="K63" s="548"/>
      <c r="L63" s="549"/>
      <c r="M63" s="466">
        <f>IF(B63=0,"",Установка!$C$14)</f>
      </c>
      <c r="N63" s="467"/>
    </row>
    <row r="64" spans="1:14" ht="21" customHeight="1" hidden="1">
      <c r="A64" s="461">
        <v>31</v>
      </c>
      <c r="B64" s="551"/>
      <c r="C64" s="552"/>
      <c r="D64" s="553"/>
      <c r="E64" s="468"/>
      <c r="F64" s="463"/>
      <c r="G64" s="461"/>
      <c r="H64" s="463"/>
      <c r="I64" s="464"/>
      <c r="J64" s="465"/>
      <c r="K64" s="548"/>
      <c r="L64" s="549"/>
      <c r="M64" s="466"/>
      <c r="N64" s="467"/>
    </row>
    <row r="65" spans="1:14" ht="21" customHeight="1" hidden="1">
      <c r="A65" s="461">
        <v>32</v>
      </c>
      <c r="B65" s="551"/>
      <c r="C65" s="552"/>
      <c r="D65" s="553"/>
      <c r="E65" s="468"/>
      <c r="F65" s="463"/>
      <c r="G65" s="461"/>
      <c r="H65" s="463"/>
      <c r="I65" s="464"/>
      <c r="J65" s="465"/>
      <c r="K65" s="548"/>
      <c r="L65" s="549"/>
      <c r="M65" s="466"/>
      <c r="N65" s="467"/>
    </row>
    <row r="66" ht="7.5" customHeight="1"/>
    <row r="67" spans="1:12" s="6" customFormat="1" ht="15" customHeight="1">
      <c r="A67" s="46"/>
      <c r="C67" s="7"/>
      <c r="D67" s="60" t="s">
        <v>145</v>
      </c>
      <c r="E67" s="542"/>
      <c r="F67" s="542"/>
      <c r="G67" s="542"/>
      <c r="H67" s="542"/>
      <c r="I67" s="542"/>
      <c r="J67" s="542"/>
      <c r="K67" s="542"/>
      <c r="L67" s="2"/>
    </row>
    <row r="68" spans="1:12" s="6" customFormat="1" ht="10.5" customHeight="1">
      <c r="A68" s="46"/>
      <c r="C68" s="469"/>
      <c r="E68" s="554" t="s">
        <v>53</v>
      </c>
      <c r="F68" s="554"/>
      <c r="G68" s="554"/>
      <c r="H68" s="554"/>
      <c r="I68" s="554"/>
      <c r="J68" s="554"/>
      <c r="K68" s="554"/>
      <c r="L68" s="470"/>
    </row>
    <row r="69" spans="3:11" ht="15" customHeight="1">
      <c r="C69" s="174"/>
      <c r="D69" s="60" t="s">
        <v>2</v>
      </c>
      <c r="E69" s="555"/>
      <c r="F69" s="555"/>
      <c r="G69" s="471"/>
      <c r="H69" s="471"/>
      <c r="I69" s="471"/>
      <c r="J69" s="471"/>
      <c r="K69" s="472" t="str">
        <f>UPPER(Установка!C11)</f>
        <v>ЗЕЛИНГЕР М.М.</v>
      </c>
    </row>
    <row r="70" spans="3:11" ht="15" customHeight="1">
      <c r="C70" s="469"/>
      <c r="D70" s="469"/>
      <c r="E70" s="554" t="s">
        <v>146</v>
      </c>
      <c r="F70" s="554"/>
      <c r="G70" s="554"/>
      <c r="H70" s="554"/>
      <c r="I70" s="554"/>
      <c r="J70" s="554"/>
      <c r="K70" s="554"/>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sheetData>
  <sheetProtection sheet="1" objects="1" scenarios="1" selectLockedCells="1"/>
  <mergeCells count="121">
    <mergeCell ref="K58:L58"/>
    <mergeCell ref="K59:L59"/>
    <mergeCell ref="K60:L60"/>
    <mergeCell ref="K61:L61"/>
    <mergeCell ref="B60:D60"/>
    <mergeCell ref="B61:D61"/>
    <mergeCell ref="B62:D62"/>
    <mergeCell ref="B63:D63"/>
    <mergeCell ref="K62:L62"/>
    <mergeCell ref="K63:L63"/>
    <mergeCell ref="K50:L50"/>
    <mergeCell ref="K51:L51"/>
    <mergeCell ref="B54:D54"/>
    <mergeCell ref="B55:D55"/>
    <mergeCell ref="B52:D52"/>
    <mergeCell ref="B53:D53"/>
    <mergeCell ref="B50:D50"/>
    <mergeCell ref="B51:D51"/>
    <mergeCell ref="B56:D56"/>
    <mergeCell ref="B57:D57"/>
    <mergeCell ref="B58:D58"/>
    <mergeCell ref="B59:D59"/>
    <mergeCell ref="K45:L45"/>
    <mergeCell ref="B48:D48"/>
    <mergeCell ref="B49:D49"/>
    <mergeCell ref="K46:L46"/>
    <mergeCell ref="K47:L47"/>
    <mergeCell ref="K48:L48"/>
    <mergeCell ref="K49:L49"/>
    <mergeCell ref="K34:L34"/>
    <mergeCell ref="B19:D19"/>
    <mergeCell ref="K19:L19"/>
    <mergeCell ref="K20:L20"/>
    <mergeCell ref="B20:D20"/>
    <mergeCell ref="B46:D46"/>
    <mergeCell ref="B42:D42"/>
    <mergeCell ref="K42:L42"/>
    <mergeCell ref="B43:D43"/>
    <mergeCell ref="K43:L43"/>
    <mergeCell ref="K29:L29"/>
    <mergeCell ref="B35:D35"/>
    <mergeCell ref="K35:L35"/>
    <mergeCell ref="B32:D32"/>
    <mergeCell ref="K32:L32"/>
    <mergeCell ref="B33:D33"/>
    <mergeCell ref="K33:L33"/>
    <mergeCell ref="B34:D34"/>
    <mergeCell ref="B31:D31"/>
    <mergeCell ref="K31:L31"/>
    <mergeCell ref="K30:L30"/>
    <mergeCell ref="B22:D22"/>
    <mergeCell ref="B25:D25"/>
    <mergeCell ref="K25:L25"/>
    <mergeCell ref="B26:D26"/>
    <mergeCell ref="K26:L26"/>
    <mergeCell ref="K27:L27"/>
    <mergeCell ref="K24:L24"/>
    <mergeCell ref="B28:D28"/>
    <mergeCell ref="K28:L28"/>
    <mergeCell ref="K18:L18"/>
    <mergeCell ref="K16:L16"/>
    <mergeCell ref="K65:L65"/>
    <mergeCell ref="K36:L36"/>
    <mergeCell ref="K37:L37"/>
    <mergeCell ref="K38:L38"/>
    <mergeCell ref="K39:L39"/>
    <mergeCell ref="K54:L54"/>
    <mergeCell ref="K55:L55"/>
    <mergeCell ref="K57:L57"/>
    <mergeCell ref="K22:L22"/>
    <mergeCell ref="B23:D23"/>
    <mergeCell ref="K23:L23"/>
    <mergeCell ref="B24:D24"/>
    <mergeCell ref="K21:L21"/>
    <mergeCell ref="B13:D13"/>
    <mergeCell ref="K13:L13"/>
    <mergeCell ref="B14:D14"/>
    <mergeCell ref="K14:L14"/>
    <mergeCell ref="K17:L17"/>
    <mergeCell ref="B12:D12"/>
    <mergeCell ref="K41:L41"/>
    <mergeCell ref="B65:D65"/>
    <mergeCell ref="E67:K67"/>
    <mergeCell ref="E68:K68"/>
    <mergeCell ref="K40:L40"/>
    <mergeCell ref="K56:L56"/>
    <mergeCell ref="K64:L64"/>
    <mergeCell ref="K52:L52"/>
    <mergeCell ref="K53:L53"/>
    <mergeCell ref="B16:D16"/>
    <mergeCell ref="B18:D18"/>
    <mergeCell ref="B36:D36"/>
    <mergeCell ref="B27:D27"/>
    <mergeCell ref="B30:D30"/>
    <mergeCell ref="B29:D29"/>
    <mergeCell ref="E70:K70"/>
    <mergeCell ref="B39:D39"/>
    <mergeCell ref="B40:D40"/>
    <mergeCell ref="B41:D41"/>
    <mergeCell ref="B64:D64"/>
    <mergeCell ref="E69:F69"/>
    <mergeCell ref="B47:D47"/>
    <mergeCell ref="B44:D44"/>
    <mergeCell ref="K44:L44"/>
    <mergeCell ref="B45:D45"/>
    <mergeCell ref="B21:D21"/>
    <mergeCell ref="B37:D37"/>
    <mergeCell ref="B38:D38"/>
    <mergeCell ref="D7:E7"/>
    <mergeCell ref="K15:L15"/>
    <mergeCell ref="A5:N5"/>
    <mergeCell ref="K12:L12"/>
    <mergeCell ref="B11:D11"/>
    <mergeCell ref="B15:D15"/>
    <mergeCell ref="B17:D17"/>
    <mergeCell ref="A3:N3"/>
    <mergeCell ref="A4:N4"/>
    <mergeCell ref="A6:N6"/>
    <mergeCell ref="M7:N7"/>
    <mergeCell ref="A9:B9"/>
    <mergeCell ref="K11:L11"/>
  </mergeCells>
  <printOptions horizontalCentered="1"/>
  <pageMargins left="0.15748031496062992" right="0.15748031496062992" top="0.15748031496062992" bottom="0.5" header="0.15748031496062992" footer="0.15"/>
  <pageSetup fitToHeight="2" fitToWidth="1" horizontalDpi="600" verticalDpi="600" orientation="landscape" paperSize="9" scale="70" r:id="rId3"/>
  <headerFooter alignWithMargins="0">
    <oddFooter>&amp;CСтраница &amp;P из &amp;N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Лист6">
    <pageSetUpPr fitToPage="1"/>
  </sheetPr>
  <dimension ref="A1:AD241"/>
  <sheetViews>
    <sheetView showGridLines="0" showRowColHeaders="0" zoomScale="85" zoomScaleNormal="85" zoomScalePageLayoutView="0" workbookViewId="0" topLeftCell="A1">
      <pane ySplit="7" topLeftCell="A8"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44.75390625" style="0" customWidth="1"/>
    <col min="4" max="4" width="6.75390625" style="0" customWidth="1"/>
    <col min="5" max="5" width="10.75390625" style="0" customWidth="1"/>
    <col min="6" max="6" width="15.75390625" style="44" customWidth="1"/>
    <col min="7" max="7" width="8.75390625" style="44" customWidth="1"/>
    <col min="8" max="8" width="2.625" style="408" hidden="1" customWidth="1"/>
    <col min="9" max="12" width="3.00390625" style="249" hidden="1" customWidth="1"/>
    <col min="13" max="13" width="3.375" style="249" hidden="1" customWidth="1"/>
    <col min="14" max="14" width="10.25390625" style="249" hidden="1" customWidth="1"/>
    <col min="15" max="15" width="5.25390625" style="249" hidden="1" customWidth="1"/>
    <col min="16" max="16" width="5.00390625" style="250" hidden="1" customWidth="1"/>
    <col min="17" max="17" width="5.00390625" style="2" customWidth="1"/>
    <col min="18" max="18" width="5.375" style="0" customWidth="1"/>
    <col min="19" max="19" width="17.25390625" style="0" customWidth="1"/>
    <col min="25" max="25" width="8.375" style="249" hidden="1" customWidth="1"/>
    <col min="26" max="26" width="9.125" style="249" hidden="1" customWidth="1"/>
    <col min="27" max="27" width="18.875" style="249" hidden="1" customWidth="1"/>
    <col min="30" max="30" width="0" style="0" hidden="1" customWidth="1"/>
  </cols>
  <sheetData>
    <row r="1" spans="2:6" ht="12.75">
      <c r="B1" s="543" t="s">
        <v>84</v>
      </c>
      <c r="C1" s="543"/>
      <c r="D1" s="543"/>
      <c r="E1" s="543"/>
      <c r="F1" s="543"/>
    </row>
    <row r="2" spans="2:6" ht="28.5" customHeight="1">
      <c r="B2" s="544" t="str">
        <f>UPPER(Установка!C3)</f>
        <v>"КУБОК ЮЖНОГО УРАЛА"</v>
      </c>
      <c r="C2" s="544"/>
      <c r="D2" s="544"/>
      <c r="E2" s="544"/>
      <c r="F2" s="544"/>
    </row>
    <row r="3" spans="2:27" ht="12.75">
      <c r="B3" s="545" t="s">
        <v>3</v>
      </c>
      <c r="C3" s="545"/>
      <c r="D3" s="545"/>
      <c r="E3" s="545"/>
      <c r="F3" s="545"/>
      <c r="AA3" s="526"/>
    </row>
    <row r="4" spans="3:27" ht="11.25" customHeight="1">
      <c r="C4" s="60" t="s">
        <v>1</v>
      </c>
      <c r="D4" s="542" t="str">
        <f>UPPER(Установка!C4)</f>
        <v>ДО 15 ЛЕТ</v>
      </c>
      <c r="E4" s="542"/>
      <c r="F4" s="542"/>
      <c r="G4" s="372" t="str">
        <f>IF(Установка!C5="","Ю/Д/М/Ж",UPPER(Установка!C5))</f>
        <v>ЮНОШИ</v>
      </c>
      <c r="H4" s="434"/>
      <c r="AA4" s="526"/>
    </row>
    <row r="5" spans="3:8" ht="11.25" customHeight="1">
      <c r="C5" s="60"/>
      <c r="D5" s="2"/>
      <c r="E5" s="2"/>
      <c r="F5" s="2"/>
      <c r="G5" s="46"/>
      <c r="H5" s="434"/>
    </row>
    <row r="6" spans="5:7" ht="37.5" customHeight="1">
      <c r="E6" s="379"/>
      <c r="G6" s="380"/>
    </row>
    <row r="7" spans="1:17" ht="42" customHeight="1">
      <c r="A7" s="244" t="s">
        <v>17</v>
      </c>
      <c r="B7" s="244" t="s">
        <v>47</v>
      </c>
      <c r="C7" s="244" t="s">
        <v>44</v>
      </c>
      <c r="D7" s="244" t="s">
        <v>36</v>
      </c>
      <c r="E7" s="244" t="s">
        <v>46</v>
      </c>
      <c r="F7" s="244" t="s">
        <v>28</v>
      </c>
      <c r="G7" s="244" t="s">
        <v>45</v>
      </c>
      <c r="H7" s="435"/>
      <c r="P7" s="251" t="s">
        <v>64</v>
      </c>
      <c r="Q7" s="203"/>
    </row>
    <row r="8" spans="1:30" s="164" customFormat="1" ht="21" customHeight="1">
      <c r="A8" s="375">
        <f aca="true" t="shared" si="0" ref="A8:A31">ROW()-7</f>
        <v>1</v>
      </c>
      <c r="B8" s="246">
        <v>483</v>
      </c>
      <c r="C8" s="439" t="s">
        <v>168</v>
      </c>
      <c r="D8" s="246">
        <v>27757</v>
      </c>
      <c r="E8" s="447">
        <v>37618</v>
      </c>
      <c r="F8" s="246" t="s">
        <v>169</v>
      </c>
      <c r="G8" s="246"/>
      <c r="H8" s="438" t="s">
        <v>156</v>
      </c>
      <c r="I8" s="252">
        <f>LEN(C8)</f>
        <v>23</v>
      </c>
      <c r="J8" s="252">
        <f>IF((I8)=0,0,FIND(" ",C8))</f>
        <v>8</v>
      </c>
      <c r="K8" s="252" t="str">
        <f>IF(OR(ISERR(J8),I8=0),"",CONCATENATE(UPPER(MID(C8,J8+1,1)),"."))</f>
        <v>И.</v>
      </c>
      <c r="L8" s="252">
        <f>IF(LEN(C8)=0,0,FIND(" ",C8,J8+1))</f>
        <v>14</v>
      </c>
      <c r="M8" s="252" t="str">
        <f>IF(OR(I8=0,ISERR(L8)),"",CONCATENATE(MID(C8,L8+1,1),"."))</f>
        <v>А.</v>
      </c>
      <c r="N8" s="252" t="str">
        <f>IF(C8="","",IF(ISERR(J8),UPPER(C8),UPPER(MID(C8,1,J8-1))))</f>
        <v>ТИХОНОВ</v>
      </c>
      <c r="O8" s="252" t="str">
        <f>CONCATENATE(K8,M8)</f>
        <v>И.А.</v>
      </c>
      <c r="P8" s="253" t="str">
        <f>UPPER(IF(AND(A8&lt;=$A$50,B8&lt;&gt;0,AD8),CONCATENATE(A8," ",G8),G8))</f>
        <v>1 </v>
      </c>
      <c r="Q8" s="22"/>
      <c r="Y8" s="252" t="str">
        <f>IF(C8="","",IF(ISERR(J8),"",IF(ISERR(L8),UPPER(MID(C8,J8,I8-J8+1)),UPPER(MID(C8,J8,L8-J8)))))</f>
        <v> ИГОРЬ</v>
      </c>
      <c r="Z8" s="433">
        <f aca="true" t="shared" si="1" ref="Z8:Z31">IF(N8="",0,COUNTIF($N$8:$N$31,N8))</f>
        <v>1</v>
      </c>
      <c r="AA8" s="252" t="str">
        <f>IF(Z8&gt;1,CONCATENATE(N8,Y8),N8)</f>
        <v>ТИХОНОВ</v>
      </c>
      <c r="AD8" s="438" t="b">
        <v>1</v>
      </c>
    </row>
    <row r="9" spans="1:30" s="164" customFormat="1" ht="21" customHeight="1">
      <c r="A9" s="375">
        <f t="shared" si="0"/>
        <v>2</v>
      </c>
      <c r="B9" s="246">
        <v>379</v>
      </c>
      <c r="C9" s="439" t="s">
        <v>171</v>
      </c>
      <c r="D9" s="246">
        <v>27355</v>
      </c>
      <c r="E9" s="447">
        <v>37339</v>
      </c>
      <c r="F9" s="246" t="s">
        <v>172</v>
      </c>
      <c r="G9" s="246"/>
      <c r="H9" s="438" t="s">
        <v>156</v>
      </c>
      <c r="I9" s="252">
        <f aca="true" t="shared" si="2" ref="I9:I31">LEN(C9)</f>
        <v>27</v>
      </c>
      <c r="J9" s="252">
        <f aca="true" t="shared" si="3" ref="J9:J31">IF((I9)=0,0,FIND(" ",C9))</f>
        <v>8</v>
      </c>
      <c r="K9" s="252" t="str">
        <f aca="true" t="shared" si="4" ref="K9:K31">IF(OR(ISERR(J9),I9=0),"",CONCATENATE(UPPER(MID(C9,J9+1,1)),"."))</f>
        <v>Д.</v>
      </c>
      <c r="L9" s="252">
        <f aca="true" t="shared" si="5" ref="L9:L31">IF(LEN(C9)=0,0,FIND(" ",C9,J9+1))</f>
        <v>14</v>
      </c>
      <c r="M9" s="252" t="str">
        <f aca="true" t="shared" si="6" ref="M9:M31">IF(OR(I9=0,ISERR(L9)),"",CONCATENATE(MID(C9,L9+1,1),"."))</f>
        <v>А.</v>
      </c>
      <c r="N9" s="252" t="str">
        <f aca="true" t="shared" si="7" ref="N9:N31">IF(C9="","",IF(ISERR(J9),UPPER(C9),UPPER(MID(C9,1,J9-1))))</f>
        <v>ШВАЙЦЕР</v>
      </c>
      <c r="O9" s="252" t="str">
        <f aca="true" t="shared" si="8" ref="O9:O31">CONCATENATE(K9,M9)</f>
        <v>Д.А.</v>
      </c>
      <c r="P9" s="253" t="str">
        <f aca="true" t="shared" si="9" ref="P9:P31">UPPER(IF(AND(A9&lt;=$A$50,B9&lt;&gt;0,AD9),CONCATENATE(A9," ",G9),G9))</f>
        <v>2 </v>
      </c>
      <c r="Q9" s="22"/>
      <c r="Y9" s="252" t="str">
        <f aca="true" t="shared" si="10" ref="Y9:Y31">IF(C9="","",IF(ISERR(J9),"",IF(ISERR(L9),UPPER(MID(C9,J9,I9-J9+1)),UPPER(MID(C9,J9,L9-J9)))))</f>
        <v> ДЕНИС</v>
      </c>
      <c r="Z9" s="433">
        <f t="shared" si="1"/>
        <v>1</v>
      </c>
      <c r="AA9" s="252" t="str">
        <f aca="true" t="shared" si="11" ref="AA9:AA32">IF(Z9&gt;1,CONCATENATE(N9,Y9),N9)</f>
        <v>ШВАЙЦЕР</v>
      </c>
      <c r="AD9" s="438" t="b">
        <v>1</v>
      </c>
    </row>
    <row r="10" spans="1:30" s="164" customFormat="1" ht="21" customHeight="1">
      <c r="A10" s="245">
        <f t="shared" si="0"/>
        <v>3</v>
      </c>
      <c r="B10" s="246">
        <v>262</v>
      </c>
      <c r="C10" s="439" t="s">
        <v>174</v>
      </c>
      <c r="D10" s="246">
        <v>24902</v>
      </c>
      <c r="E10" s="447">
        <v>37377</v>
      </c>
      <c r="F10" s="246" t="s">
        <v>172</v>
      </c>
      <c r="G10" s="246"/>
      <c r="H10" s="438" t="s">
        <v>156</v>
      </c>
      <c r="I10" s="252">
        <f t="shared" si="2"/>
        <v>22</v>
      </c>
      <c r="J10" s="252">
        <f t="shared" si="3"/>
        <v>8</v>
      </c>
      <c r="K10" s="252" t="str">
        <f t="shared" si="4"/>
        <v>Э.</v>
      </c>
      <c r="L10" s="252">
        <f t="shared" si="5"/>
        <v>13</v>
      </c>
      <c r="M10" s="252" t="str">
        <f t="shared" si="6"/>
        <v>Т.</v>
      </c>
      <c r="N10" s="252" t="str">
        <f t="shared" si="7"/>
        <v>ЦВИКЛИЧ</v>
      </c>
      <c r="O10" s="252" t="str">
        <f t="shared" si="8"/>
        <v>Э.Т.</v>
      </c>
      <c r="P10" s="253" t="str">
        <f t="shared" si="9"/>
        <v>3 </v>
      </c>
      <c r="Q10" s="22"/>
      <c r="Y10" s="252" t="str">
        <f t="shared" si="10"/>
        <v> ЭРИК</v>
      </c>
      <c r="Z10" s="433">
        <f t="shared" si="1"/>
        <v>1</v>
      </c>
      <c r="AA10" s="252" t="str">
        <f t="shared" si="11"/>
        <v>ЦВИКЛИЧ</v>
      </c>
      <c r="AD10" s="438" t="b">
        <v>1</v>
      </c>
    </row>
    <row r="11" spans="1:30" s="164" customFormat="1" ht="21" customHeight="1">
      <c r="A11" s="245">
        <f t="shared" si="0"/>
        <v>4</v>
      </c>
      <c r="B11" s="246">
        <v>256</v>
      </c>
      <c r="C11" s="439" t="s">
        <v>175</v>
      </c>
      <c r="D11" s="246">
        <v>25635</v>
      </c>
      <c r="E11" s="447">
        <v>37264</v>
      </c>
      <c r="F11" s="246" t="s">
        <v>176</v>
      </c>
      <c r="G11" s="246"/>
      <c r="H11" s="438" t="s">
        <v>156</v>
      </c>
      <c r="I11" s="252">
        <f t="shared" si="2"/>
        <v>29</v>
      </c>
      <c r="J11" s="252">
        <f t="shared" si="3"/>
        <v>10</v>
      </c>
      <c r="K11" s="252" t="str">
        <f t="shared" si="4"/>
        <v>М.</v>
      </c>
      <c r="L11" s="252">
        <f t="shared" si="5"/>
        <v>17</v>
      </c>
      <c r="M11" s="252" t="str">
        <f t="shared" si="6"/>
        <v>В.</v>
      </c>
      <c r="N11" s="252" t="str">
        <f t="shared" si="7"/>
        <v>ГОРОДИЛОВ</v>
      </c>
      <c r="O11" s="252" t="str">
        <f t="shared" si="8"/>
        <v>М.В.</v>
      </c>
      <c r="P11" s="253" t="str">
        <f t="shared" si="9"/>
        <v>4 </v>
      </c>
      <c r="Q11" s="22"/>
      <c r="Y11" s="252" t="str">
        <f t="shared" si="10"/>
        <v> МАКСИМ</v>
      </c>
      <c r="Z11" s="433">
        <f t="shared" si="1"/>
        <v>1</v>
      </c>
      <c r="AA11" s="252" t="str">
        <f t="shared" si="11"/>
        <v>ГОРОДИЛОВ</v>
      </c>
      <c r="AD11" s="438" t="b">
        <v>1</v>
      </c>
    </row>
    <row r="12" spans="1:30" s="164" customFormat="1" ht="21" customHeight="1">
      <c r="A12" s="245">
        <f t="shared" si="0"/>
        <v>5</v>
      </c>
      <c r="B12" s="246">
        <v>253</v>
      </c>
      <c r="C12" s="439" t="s">
        <v>177</v>
      </c>
      <c r="D12" s="246">
        <v>28022</v>
      </c>
      <c r="E12" s="447">
        <v>37703</v>
      </c>
      <c r="F12" s="246" t="s">
        <v>178</v>
      </c>
      <c r="G12" s="246"/>
      <c r="H12" s="438" t="s">
        <v>156</v>
      </c>
      <c r="I12" s="252">
        <f t="shared" si="2"/>
        <v>25</v>
      </c>
      <c r="J12" s="252">
        <f t="shared" si="3"/>
        <v>8</v>
      </c>
      <c r="K12" s="252" t="str">
        <f t="shared" si="4"/>
        <v>Н.</v>
      </c>
      <c r="L12" s="252">
        <f t="shared" si="5"/>
        <v>15</v>
      </c>
      <c r="M12" s="252" t="str">
        <f t="shared" si="6"/>
        <v>Е.</v>
      </c>
      <c r="N12" s="252" t="str">
        <f t="shared" si="7"/>
        <v>ПАДЕРИН</v>
      </c>
      <c r="O12" s="252" t="str">
        <f t="shared" si="8"/>
        <v>Н.Е.</v>
      </c>
      <c r="P12" s="253" t="str">
        <f t="shared" si="9"/>
        <v>5 </v>
      </c>
      <c r="Q12" s="22"/>
      <c r="Y12" s="252" t="str">
        <f t="shared" si="10"/>
        <v> НИКИТА</v>
      </c>
      <c r="Z12" s="433">
        <f t="shared" si="1"/>
        <v>1</v>
      </c>
      <c r="AA12" s="252" t="str">
        <f t="shared" si="11"/>
        <v>ПАДЕРИН</v>
      </c>
      <c r="AD12" s="438" t="b">
        <v>1</v>
      </c>
    </row>
    <row r="13" spans="1:30" s="164" customFormat="1" ht="21" customHeight="1">
      <c r="A13" s="245">
        <f t="shared" si="0"/>
        <v>6</v>
      </c>
      <c r="B13" s="246">
        <v>249</v>
      </c>
      <c r="C13" s="439" t="s">
        <v>179</v>
      </c>
      <c r="D13" s="246">
        <v>27279</v>
      </c>
      <c r="E13" s="447">
        <v>37893</v>
      </c>
      <c r="F13" s="246" t="s">
        <v>180</v>
      </c>
      <c r="G13" s="246"/>
      <c r="H13" s="438" t="s">
        <v>156</v>
      </c>
      <c r="I13" s="252">
        <f t="shared" si="2"/>
        <v>22</v>
      </c>
      <c r="J13" s="252">
        <f t="shared" si="3"/>
        <v>7</v>
      </c>
      <c r="K13" s="252" t="str">
        <f t="shared" si="4"/>
        <v>П.</v>
      </c>
      <c r="L13" s="252">
        <f t="shared" si="5"/>
        <v>12</v>
      </c>
      <c r="M13" s="252" t="str">
        <f t="shared" si="6"/>
        <v>Е.</v>
      </c>
      <c r="N13" s="252" t="str">
        <f t="shared" si="7"/>
        <v>ФАДЕЕВ</v>
      </c>
      <c r="O13" s="252" t="str">
        <f t="shared" si="8"/>
        <v>П.Е.</v>
      </c>
      <c r="P13" s="253" t="str">
        <f t="shared" si="9"/>
        <v>6 </v>
      </c>
      <c r="Q13" s="22"/>
      <c r="Y13" s="252" t="str">
        <f t="shared" si="10"/>
        <v> ПЕТР</v>
      </c>
      <c r="Z13" s="433">
        <f t="shared" si="1"/>
        <v>1</v>
      </c>
      <c r="AA13" s="252" t="str">
        <f t="shared" si="11"/>
        <v>ФАДЕЕВ</v>
      </c>
      <c r="AD13" s="438" t="b">
        <v>1</v>
      </c>
    </row>
    <row r="14" spans="1:30" s="164" customFormat="1" ht="21" customHeight="1">
      <c r="A14" s="245">
        <f t="shared" si="0"/>
        <v>7</v>
      </c>
      <c r="B14" s="246">
        <v>217</v>
      </c>
      <c r="C14" s="439" t="s">
        <v>181</v>
      </c>
      <c r="D14" s="246">
        <v>30971</v>
      </c>
      <c r="E14" s="447">
        <v>37624</v>
      </c>
      <c r="F14" s="246" t="s">
        <v>180</v>
      </c>
      <c r="G14" s="246"/>
      <c r="H14" s="438" t="s">
        <v>156</v>
      </c>
      <c r="I14" s="252">
        <f t="shared" si="2"/>
        <v>23</v>
      </c>
      <c r="J14" s="252">
        <f t="shared" si="3"/>
        <v>16</v>
      </c>
      <c r="K14" s="252" t="str">
        <f t="shared" si="4"/>
        <v>А.</v>
      </c>
      <c r="L14" s="252" t="e">
        <f t="shared" si="5"/>
        <v>#VALUE!</v>
      </c>
      <c r="M14" s="252">
        <f t="shared" si="6"/>
      </c>
      <c r="N14" s="252" t="str">
        <f t="shared" si="7"/>
        <v>СЕГУРА-ОНИЩЕНКО</v>
      </c>
      <c r="O14" s="252" t="str">
        <f t="shared" si="8"/>
        <v>А.</v>
      </c>
      <c r="P14" s="253" t="str">
        <f t="shared" si="9"/>
        <v>7 </v>
      </c>
      <c r="Q14" s="22"/>
      <c r="Y14" s="252" t="str">
        <f t="shared" si="10"/>
        <v> АЛЬБЕРТ</v>
      </c>
      <c r="Z14" s="433">
        <f t="shared" si="1"/>
        <v>1</v>
      </c>
      <c r="AA14" s="252" t="str">
        <f t="shared" si="11"/>
        <v>СЕГУРА-ОНИЩЕНКО</v>
      </c>
      <c r="AD14" s="438" t="b">
        <v>1</v>
      </c>
    </row>
    <row r="15" spans="1:30" s="164" customFormat="1" ht="21" customHeight="1">
      <c r="A15" s="245">
        <f t="shared" si="0"/>
        <v>8</v>
      </c>
      <c r="B15" s="246">
        <v>201</v>
      </c>
      <c r="C15" s="439" t="s">
        <v>182</v>
      </c>
      <c r="D15" s="246">
        <v>24924</v>
      </c>
      <c r="E15" s="447">
        <v>37341</v>
      </c>
      <c r="F15" s="246" t="s">
        <v>173</v>
      </c>
      <c r="G15" s="246"/>
      <c r="H15" s="438" t="s">
        <v>156</v>
      </c>
      <c r="I15" s="252">
        <f t="shared" si="2"/>
        <v>21</v>
      </c>
      <c r="J15" s="252">
        <f t="shared" si="3"/>
        <v>8</v>
      </c>
      <c r="K15" s="252" t="str">
        <f t="shared" si="4"/>
        <v>И.</v>
      </c>
      <c r="L15" s="252">
        <f t="shared" si="5"/>
        <v>13</v>
      </c>
      <c r="M15" s="252" t="str">
        <f t="shared" si="6"/>
        <v>П.</v>
      </c>
      <c r="N15" s="252" t="str">
        <f t="shared" si="7"/>
        <v>АНТИПОВ</v>
      </c>
      <c r="O15" s="252" t="str">
        <f t="shared" si="8"/>
        <v>И.П.</v>
      </c>
      <c r="P15" s="253" t="str">
        <f t="shared" si="9"/>
        <v>8 </v>
      </c>
      <c r="Q15" s="22"/>
      <c r="Y15" s="252" t="str">
        <f t="shared" si="10"/>
        <v> ИВАН</v>
      </c>
      <c r="Z15" s="433">
        <f t="shared" si="1"/>
        <v>1</v>
      </c>
      <c r="AA15" s="252" t="str">
        <f t="shared" si="11"/>
        <v>АНТИПОВ</v>
      </c>
      <c r="AD15" s="438" t="b">
        <v>1</v>
      </c>
    </row>
    <row r="16" spans="1:30" s="164" customFormat="1" ht="21" customHeight="1">
      <c r="A16" s="245">
        <f t="shared" si="0"/>
        <v>9</v>
      </c>
      <c r="B16" s="246">
        <v>169</v>
      </c>
      <c r="C16" s="439" t="s">
        <v>183</v>
      </c>
      <c r="D16" s="246">
        <v>29771</v>
      </c>
      <c r="E16" s="447">
        <v>38077</v>
      </c>
      <c r="F16" s="246" t="s">
        <v>172</v>
      </c>
      <c r="G16" s="246"/>
      <c r="H16" s="438" t="s">
        <v>156</v>
      </c>
      <c r="I16" s="252">
        <f t="shared" si="2"/>
        <v>33</v>
      </c>
      <c r="J16" s="252">
        <f t="shared" si="3"/>
        <v>12</v>
      </c>
      <c r="K16" s="252" t="str">
        <f t="shared" si="4"/>
        <v>В.</v>
      </c>
      <c r="L16" s="252">
        <f t="shared" si="5"/>
        <v>22</v>
      </c>
      <c r="M16" s="252" t="str">
        <f t="shared" si="6"/>
        <v>А.</v>
      </c>
      <c r="N16" s="252" t="str">
        <f t="shared" si="7"/>
        <v>ШАЙХУТДИНОВ</v>
      </c>
      <c r="O16" s="252" t="str">
        <f t="shared" si="8"/>
        <v>В.А.</v>
      </c>
      <c r="P16" s="253">
        <f t="shared" si="9"/>
      </c>
      <c r="Q16" s="22"/>
      <c r="Y16" s="252" t="str">
        <f t="shared" si="10"/>
        <v> ВЛАДИСЛАВ</v>
      </c>
      <c r="Z16" s="433">
        <f t="shared" si="1"/>
        <v>1</v>
      </c>
      <c r="AA16" s="252" t="str">
        <f t="shared" si="11"/>
        <v>ШАЙХУТДИНОВ</v>
      </c>
      <c r="AD16" s="438" t="b">
        <v>1</v>
      </c>
    </row>
    <row r="17" spans="1:30" s="164" customFormat="1" ht="21" customHeight="1">
      <c r="A17" s="245">
        <f t="shared" si="0"/>
        <v>10</v>
      </c>
      <c r="B17" s="246">
        <v>166</v>
      </c>
      <c r="C17" s="439" t="s">
        <v>184</v>
      </c>
      <c r="D17" s="246">
        <v>31352</v>
      </c>
      <c r="E17" s="447">
        <v>37735</v>
      </c>
      <c r="F17" s="246" t="s">
        <v>176</v>
      </c>
      <c r="G17" s="246"/>
      <c r="H17" s="438" t="s">
        <v>156</v>
      </c>
      <c r="I17" s="252">
        <f t="shared" si="2"/>
        <v>24</v>
      </c>
      <c r="J17" s="252">
        <f t="shared" si="3"/>
        <v>8</v>
      </c>
      <c r="K17" s="252" t="str">
        <f t="shared" si="4"/>
        <v>Н.</v>
      </c>
      <c r="L17" s="252">
        <f t="shared" si="5"/>
        <v>15</v>
      </c>
      <c r="M17" s="252" t="str">
        <f t="shared" si="6"/>
        <v>А.</v>
      </c>
      <c r="N17" s="252" t="str">
        <f t="shared" si="7"/>
        <v>НОВИКОВ</v>
      </c>
      <c r="O17" s="252" t="str">
        <f t="shared" si="8"/>
        <v>Н.А.</v>
      </c>
      <c r="P17" s="253">
        <f t="shared" si="9"/>
      </c>
      <c r="Q17" s="22"/>
      <c r="Y17" s="252" t="str">
        <f t="shared" si="10"/>
        <v> НИКИТА</v>
      </c>
      <c r="Z17" s="433">
        <f t="shared" si="1"/>
        <v>1</v>
      </c>
      <c r="AA17" s="252" t="str">
        <f t="shared" si="11"/>
        <v>НОВИКОВ</v>
      </c>
      <c r="AD17" s="438" t="b">
        <v>1</v>
      </c>
    </row>
    <row r="18" spans="1:30" s="164" customFormat="1" ht="21" customHeight="1">
      <c r="A18" s="245">
        <f t="shared" si="0"/>
        <v>11</v>
      </c>
      <c r="B18" s="246">
        <v>122</v>
      </c>
      <c r="C18" s="439" t="s">
        <v>185</v>
      </c>
      <c r="D18" s="246">
        <v>29018</v>
      </c>
      <c r="E18" s="447">
        <v>38127</v>
      </c>
      <c r="F18" s="246" t="s">
        <v>176</v>
      </c>
      <c r="G18" s="246"/>
      <c r="H18" s="438" t="s">
        <v>156</v>
      </c>
      <c r="I18" s="252">
        <f t="shared" si="2"/>
        <v>24</v>
      </c>
      <c r="J18" s="252">
        <f t="shared" si="3"/>
        <v>5</v>
      </c>
      <c r="K18" s="252" t="str">
        <f t="shared" si="4"/>
        <v>В.</v>
      </c>
      <c r="L18" s="252">
        <f t="shared" si="5"/>
        <v>14</v>
      </c>
      <c r="M18" s="252" t="str">
        <f t="shared" si="6"/>
        <v>М.</v>
      </c>
      <c r="N18" s="252" t="str">
        <f t="shared" si="7"/>
        <v>ЮЛИК</v>
      </c>
      <c r="O18" s="252" t="str">
        <f t="shared" si="8"/>
        <v>В.М.</v>
      </c>
      <c r="P18" s="253">
        <f t="shared" si="9"/>
      </c>
      <c r="Q18" s="22"/>
      <c r="Y18" s="252" t="str">
        <f t="shared" si="10"/>
        <v> ВЛАДИМИР</v>
      </c>
      <c r="Z18" s="433">
        <f t="shared" si="1"/>
        <v>1</v>
      </c>
      <c r="AA18" s="252" t="str">
        <f t="shared" si="11"/>
        <v>ЮЛИК</v>
      </c>
      <c r="AD18" s="438" t="b">
        <v>1</v>
      </c>
    </row>
    <row r="19" spans="1:30" s="164" customFormat="1" ht="21" customHeight="1">
      <c r="A19" s="245">
        <f t="shared" si="0"/>
        <v>12</v>
      </c>
      <c r="B19" s="246">
        <v>65</v>
      </c>
      <c r="C19" s="439" t="s">
        <v>186</v>
      </c>
      <c r="D19" s="246">
        <v>34003</v>
      </c>
      <c r="E19" s="447">
        <v>38516</v>
      </c>
      <c r="F19" s="246" t="s">
        <v>187</v>
      </c>
      <c r="G19" s="246"/>
      <c r="H19" s="438" t="s">
        <v>156</v>
      </c>
      <c r="I19" s="252">
        <f t="shared" si="2"/>
        <v>26</v>
      </c>
      <c r="J19" s="252">
        <f t="shared" si="3"/>
        <v>8</v>
      </c>
      <c r="K19" s="252" t="str">
        <f t="shared" si="4"/>
        <v>Д.</v>
      </c>
      <c r="L19" s="252">
        <f t="shared" si="5"/>
        <v>14</v>
      </c>
      <c r="M19" s="252" t="str">
        <f t="shared" si="6"/>
        <v>В.</v>
      </c>
      <c r="N19" s="252" t="str">
        <f t="shared" si="7"/>
        <v>СМИРНОВ</v>
      </c>
      <c r="O19" s="252" t="str">
        <f t="shared" si="8"/>
        <v>Д.В.</v>
      </c>
      <c r="P19" s="253">
        <f t="shared" si="9"/>
      </c>
      <c r="Q19" s="22"/>
      <c r="Y19" s="252" t="str">
        <f t="shared" si="10"/>
        <v> ДЕНИС</v>
      </c>
      <c r="Z19" s="433">
        <f t="shared" si="1"/>
        <v>1</v>
      </c>
      <c r="AA19" s="252" t="str">
        <f t="shared" si="11"/>
        <v>СМИРНОВ</v>
      </c>
      <c r="AD19" s="438" t="b">
        <v>1</v>
      </c>
    </row>
    <row r="20" spans="1:30" s="164" customFormat="1" ht="21" customHeight="1">
      <c r="A20" s="245">
        <f t="shared" si="0"/>
        <v>13</v>
      </c>
      <c r="B20" s="246">
        <v>53</v>
      </c>
      <c r="C20" s="439" t="s">
        <v>188</v>
      </c>
      <c r="D20" s="246">
        <v>33411</v>
      </c>
      <c r="E20" s="447">
        <v>38659</v>
      </c>
      <c r="F20" s="246" t="s">
        <v>172</v>
      </c>
      <c r="G20" s="246"/>
      <c r="H20" s="438" t="s">
        <v>156</v>
      </c>
      <c r="I20" s="252">
        <f t="shared" si="2"/>
        <v>21</v>
      </c>
      <c r="J20" s="252">
        <f t="shared" si="3"/>
        <v>7</v>
      </c>
      <c r="K20" s="252" t="str">
        <f t="shared" si="4"/>
        <v>Н.</v>
      </c>
      <c r="L20" s="252">
        <f t="shared" si="5"/>
        <v>14</v>
      </c>
      <c r="M20" s="252" t="str">
        <f t="shared" si="6"/>
        <v>Ю.</v>
      </c>
      <c r="N20" s="252" t="str">
        <f t="shared" si="7"/>
        <v>КОЗЛОВ</v>
      </c>
      <c r="O20" s="252" t="str">
        <f t="shared" si="8"/>
        <v>Н.Ю.</v>
      </c>
      <c r="P20" s="253">
        <f t="shared" si="9"/>
      </c>
      <c r="Q20" s="22"/>
      <c r="Y20" s="252" t="str">
        <f t="shared" si="10"/>
        <v> НИКИТА</v>
      </c>
      <c r="Z20" s="433">
        <f t="shared" si="1"/>
        <v>1</v>
      </c>
      <c r="AA20" s="252" t="str">
        <f t="shared" si="11"/>
        <v>КОЗЛОВ</v>
      </c>
      <c r="AD20" s="438" t="b">
        <v>1</v>
      </c>
    </row>
    <row r="21" spans="1:30" s="164" customFormat="1" ht="21" customHeight="1">
      <c r="A21" s="245">
        <f t="shared" si="0"/>
        <v>14</v>
      </c>
      <c r="B21" s="246">
        <v>48</v>
      </c>
      <c r="C21" s="439" t="s">
        <v>189</v>
      </c>
      <c r="D21" s="246">
        <v>31320</v>
      </c>
      <c r="E21" s="447">
        <v>37643</v>
      </c>
      <c r="F21" s="246" t="s">
        <v>176</v>
      </c>
      <c r="G21" s="246"/>
      <c r="H21" s="438" t="s">
        <v>156</v>
      </c>
      <c r="I21" s="252">
        <f t="shared" si="2"/>
        <v>26</v>
      </c>
      <c r="J21" s="252">
        <f t="shared" si="3"/>
        <v>9</v>
      </c>
      <c r="K21" s="252" t="str">
        <f t="shared" si="4"/>
        <v>В.</v>
      </c>
      <c r="L21" s="252">
        <f t="shared" si="5"/>
        <v>17</v>
      </c>
      <c r="M21" s="252" t="str">
        <f t="shared" si="6"/>
        <v>А.</v>
      </c>
      <c r="N21" s="252" t="str">
        <f t="shared" si="7"/>
        <v>ХЛОПУНОВ</v>
      </c>
      <c r="O21" s="252" t="str">
        <f t="shared" si="8"/>
        <v>В.А.</v>
      </c>
      <c r="P21" s="253">
        <f t="shared" si="9"/>
      </c>
      <c r="Q21" s="22"/>
      <c r="Y21" s="252" t="str">
        <f t="shared" si="10"/>
        <v> ВАСИЛИЙ</v>
      </c>
      <c r="Z21" s="433">
        <f t="shared" si="1"/>
        <v>1</v>
      </c>
      <c r="AA21" s="252" t="str">
        <f t="shared" si="11"/>
        <v>ХЛОПУНОВ</v>
      </c>
      <c r="AD21" s="438" t="b">
        <v>1</v>
      </c>
    </row>
    <row r="22" spans="1:30" s="164" customFormat="1" ht="21" customHeight="1">
      <c r="A22" s="245">
        <f t="shared" si="0"/>
        <v>15</v>
      </c>
      <c r="B22" s="246">
        <v>47</v>
      </c>
      <c r="C22" s="439" t="s">
        <v>190</v>
      </c>
      <c r="D22" s="246">
        <v>32909</v>
      </c>
      <c r="E22" s="447">
        <v>38114</v>
      </c>
      <c r="F22" s="246" t="s">
        <v>176</v>
      </c>
      <c r="G22" s="246"/>
      <c r="H22" s="438" t="s">
        <v>156</v>
      </c>
      <c r="I22" s="252">
        <f t="shared" si="2"/>
        <v>23</v>
      </c>
      <c r="J22" s="252">
        <f t="shared" si="3"/>
        <v>8</v>
      </c>
      <c r="K22" s="252" t="str">
        <f t="shared" si="4"/>
        <v>С.</v>
      </c>
      <c r="L22" s="252">
        <f t="shared" si="5"/>
        <v>15</v>
      </c>
      <c r="M22" s="252" t="str">
        <f t="shared" si="6"/>
        <v>О.</v>
      </c>
      <c r="N22" s="252" t="str">
        <f t="shared" si="7"/>
        <v>БОРОХОВ</v>
      </c>
      <c r="O22" s="252" t="str">
        <f t="shared" si="8"/>
        <v>С.О.</v>
      </c>
      <c r="P22" s="253">
        <f t="shared" si="9"/>
      </c>
      <c r="Q22" s="22"/>
      <c r="Y22" s="252" t="str">
        <f t="shared" si="10"/>
        <v> СЕРГЕЙ</v>
      </c>
      <c r="Z22" s="433">
        <f t="shared" si="1"/>
        <v>1</v>
      </c>
      <c r="AA22" s="252" t="str">
        <f t="shared" si="11"/>
        <v>БОРОХОВ</v>
      </c>
      <c r="AD22" s="438" t="b">
        <v>1</v>
      </c>
    </row>
    <row r="23" spans="1:30" s="164" customFormat="1" ht="21" customHeight="1">
      <c r="A23" s="245">
        <f t="shared" si="0"/>
        <v>16</v>
      </c>
      <c r="B23" s="246">
        <v>41</v>
      </c>
      <c r="C23" s="439" t="s">
        <v>191</v>
      </c>
      <c r="D23" s="246">
        <v>34370</v>
      </c>
      <c r="E23" s="447">
        <v>37818</v>
      </c>
      <c r="F23" s="246" t="s">
        <v>176</v>
      </c>
      <c r="G23" s="246"/>
      <c r="H23" s="438" t="s">
        <v>156</v>
      </c>
      <c r="I23" s="252">
        <f t="shared" si="2"/>
        <v>24</v>
      </c>
      <c r="J23" s="252">
        <f t="shared" si="3"/>
        <v>8</v>
      </c>
      <c r="K23" s="252" t="str">
        <f t="shared" si="4"/>
        <v>А.</v>
      </c>
      <c r="L23" s="252">
        <f t="shared" si="5"/>
        <v>14</v>
      </c>
      <c r="M23" s="252" t="str">
        <f t="shared" si="6"/>
        <v>М.</v>
      </c>
      <c r="N23" s="252" t="str">
        <f t="shared" si="7"/>
        <v>ЕРМАКОВ</v>
      </c>
      <c r="O23" s="252" t="str">
        <f t="shared" si="8"/>
        <v>А.М.</v>
      </c>
      <c r="P23" s="253">
        <f t="shared" si="9"/>
      </c>
      <c r="Q23" s="22"/>
      <c r="Y23" s="252" t="str">
        <f t="shared" si="10"/>
        <v> АРТЕМ</v>
      </c>
      <c r="Z23" s="433">
        <f t="shared" si="1"/>
        <v>1</v>
      </c>
      <c r="AA23" s="252" t="str">
        <f t="shared" si="11"/>
        <v>ЕРМАКОВ</v>
      </c>
      <c r="AD23" s="438" t="b">
        <v>1</v>
      </c>
    </row>
    <row r="24" spans="1:30" s="164" customFormat="1" ht="21" customHeight="1">
      <c r="A24" s="245">
        <f t="shared" si="0"/>
        <v>17</v>
      </c>
      <c r="B24" s="246">
        <v>12</v>
      </c>
      <c r="C24" s="439" t="s">
        <v>192</v>
      </c>
      <c r="D24" s="246">
        <v>34911</v>
      </c>
      <c r="E24" s="447">
        <v>38614</v>
      </c>
      <c r="F24" s="246" t="s">
        <v>176</v>
      </c>
      <c r="G24" s="246"/>
      <c r="H24" s="438" t="s">
        <v>156</v>
      </c>
      <c r="I24" s="252">
        <f t="shared" si="2"/>
        <v>23</v>
      </c>
      <c r="J24" s="252">
        <f t="shared" si="3"/>
        <v>8</v>
      </c>
      <c r="K24" s="252" t="str">
        <f t="shared" si="4"/>
        <v>Н.</v>
      </c>
      <c r="L24" s="252">
        <f t="shared" si="5"/>
        <v>15</v>
      </c>
      <c r="M24" s="252" t="str">
        <f t="shared" si="6"/>
        <v>О.</v>
      </c>
      <c r="N24" s="252" t="str">
        <f t="shared" si="7"/>
        <v>ПОТАПОВ</v>
      </c>
      <c r="O24" s="252" t="str">
        <f t="shared" si="8"/>
        <v>Н.О.</v>
      </c>
      <c r="P24" s="253">
        <f t="shared" si="9"/>
      </c>
      <c r="Q24" s="22"/>
      <c r="Y24" s="252" t="str">
        <f t="shared" si="10"/>
        <v> НИКИТА</v>
      </c>
      <c r="Z24" s="433">
        <f t="shared" si="1"/>
        <v>1</v>
      </c>
      <c r="AA24" s="252" t="str">
        <f t="shared" si="11"/>
        <v>ПОТАПОВ</v>
      </c>
      <c r="AD24" s="438" t="b">
        <v>1</v>
      </c>
    </row>
    <row r="25" spans="1:30" s="164" customFormat="1" ht="21" customHeight="1">
      <c r="A25" s="245">
        <f t="shared" si="0"/>
        <v>18</v>
      </c>
      <c r="B25" s="246">
        <v>6</v>
      </c>
      <c r="C25" s="439" t="s">
        <v>193</v>
      </c>
      <c r="D25" s="246">
        <v>35241</v>
      </c>
      <c r="E25" s="447">
        <v>38263</v>
      </c>
      <c r="F25" s="246" t="s">
        <v>176</v>
      </c>
      <c r="G25" s="246"/>
      <c r="H25" s="438" t="s">
        <v>156</v>
      </c>
      <c r="I25" s="252">
        <f t="shared" si="2"/>
        <v>21</v>
      </c>
      <c r="J25" s="252">
        <f t="shared" si="3"/>
        <v>6</v>
      </c>
      <c r="K25" s="252" t="str">
        <f t="shared" si="4"/>
        <v>Д.</v>
      </c>
      <c r="L25" s="252">
        <f t="shared" si="5"/>
        <v>13</v>
      </c>
      <c r="M25" s="252" t="str">
        <f t="shared" si="6"/>
        <v>И.</v>
      </c>
      <c r="N25" s="252" t="str">
        <f t="shared" si="7"/>
        <v>ЮРКОВ</v>
      </c>
      <c r="O25" s="252" t="str">
        <f t="shared" si="8"/>
        <v>Д.И.</v>
      </c>
      <c r="P25" s="253">
        <f t="shared" si="9"/>
      </c>
      <c r="Q25" s="22"/>
      <c r="Y25" s="252" t="str">
        <f t="shared" si="10"/>
        <v> ДАНИИЛ</v>
      </c>
      <c r="Z25" s="433">
        <f t="shared" si="1"/>
        <v>1</v>
      </c>
      <c r="AA25" s="252" t="str">
        <f t="shared" si="11"/>
        <v>ЮРКОВ</v>
      </c>
      <c r="AD25" s="438" t="b">
        <v>1</v>
      </c>
    </row>
    <row r="26" spans="1:30" s="164" customFormat="1" ht="21" customHeight="1">
      <c r="A26" s="245">
        <f t="shared" si="0"/>
        <v>19</v>
      </c>
      <c r="B26" s="246"/>
      <c r="C26" s="439"/>
      <c r="D26" s="246"/>
      <c r="E26" s="447"/>
      <c r="F26" s="246"/>
      <c r="G26" s="246"/>
      <c r="H26" s="438"/>
      <c r="I26" s="252">
        <f t="shared" si="2"/>
        <v>0</v>
      </c>
      <c r="J26" s="252">
        <f t="shared" si="3"/>
        <v>0</v>
      </c>
      <c r="K26" s="252">
        <f t="shared" si="4"/>
      </c>
      <c r="L26" s="252">
        <f t="shared" si="5"/>
        <v>0</v>
      </c>
      <c r="M26" s="252">
        <f t="shared" si="6"/>
      </c>
      <c r="N26" s="252">
        <f t="shared" si="7"/>
      </c>
      <c r="O26" s="252">
        <f t="shared" si="8"/>
      </c>
      <c r="P26" s="253">
        <f t="shared" si="9"/>
      </c>
      <c r="Q26" s="22"/>
      <c r="Y26" s="252">
        <f t="shared" si="10"/>
      </c>
      <c r="Z26" s="433">
        <f t="shared" si="1"/>
        <v>0</v>
      </c>
      <c r="AA26" s="252">
        <f t="shared" si="11"/>
      </c>
      <c r="AD26" s="438" t="b">
        <v>1</v>
      </c>
    </row>
    <row r="27" spans="1:30" s="164" customFormat="1" ht="21" customHeight="1">
      <c r="A27" s="245">
        <f t="shared" si="0"/>
        <v>20</v>
      </c>
      <c r="B27" s="246"/>
      <c r="C27" s="439"/>
      <c r="D27" s="246"/>
      <c r="E27" s="447"/>
      <c r="F27" s="246"/>
      <c r="G27" s="246"/>
      <c r="H27" s="438"/>
      <c r="I27" s="252">
        <f t="shared" si="2"/>
        <v>0</v>
      </c>
      <c r="J27" s="252">
        <f t="shared" si="3"/>
        <v>0</v>
      </c>
      <c r="K27" s="252">
        <f t="shared" si="4"/>
      </c>
      <c r="L27" s="252">
        <f t="shared" si="5"/>
        <v>0</v>
      </c>
      <c r="M27" s="252">
        <f t="shared" si="6"/>
      </c>
      <c r="N27" s="252">
        <f t="shared" si="7"/>
      </c>
      <c r="O27" s="252">
        <f t="shared" si="8"/>
      </c>
      <c r="P27" s="253">
        <f t="shared" si="9"/>
      </c>
      <c r="Q27" s="22"/>
      <c r="Y27" s="252">
        <f t="shared" si="10"/>
      </c>
      <c r="Z27" s="433">
        <f t="shared" si="1"/>
        <v>0</v>
      </c>
      <c r="AA27" s="252">
        <f t="shared" si="11"/>
      </c>
      <c r="AD27" s="438" t="b">
        <v>1</v>
      </c>
    </row>
    <row r="28" spans="1:30" s="164" customFormat="1" ht="21" customHeight="1">
      <c r="A28" s="245">
        <f t="shared" si="0"/>
        <v>21</v>
      </c>
      <c r="B28" s="246"/>
      <c r="C28" s="439"/>
      <c r="D28" s="246"/>
      <c r="E28" s="447"/>
      <c r="F28" s="246"/>
      <c r="G28" s="246"/>
      <c r="H28" s="438"/>
      <c r="I28" s="252">
        <f t="shared" si="2"/>
        <v>0</v>
      </c>
      <c r="J28" s="252">
        <f t="shared" si="3"/>
        <v>0</v>
      </c>
      <c r="K28" s="252">
        <f t="shared" si="4"/>
      </c>
      <c r="L28" s="252">
        <f t="shared" si="5"/>
        <v>0</v>
      </c>
      <c r="M28" s="252">
        <f t="shared" si="6"/>
      </c>
      <c r="N28" s="252">
        <f t="shared" si="7"/>
      </c>
      <c r="O28" s="252">
        <f t="shared" si="8"/>
      </c>
      <c r="P28" s="253">
        <f t="shared" si="9"/>
      </c>
      <c r="Q28" s="22"/>
      <c r="Y28" s="252">
        <f t="shared" si="10"/>
      </c>
      <c r="Z28" s="433">
        <f t="shared" si="1"/>
        <v>0</v>
      </c>
      <c r="AA28" s="252">
        <f t="shared" si="11"/>
      </c>
      <c r="AD28" s="438" t="b">
        <v>1</v>
      </c>
    </row>
    <row r="29" spans="1:30" s="164" customFormat="1" ht="21" customHeight="1">
      <c r="A29" s="245">
        <f t="shared" si="0"/>
        <v>22</v>
      </c>
      <c r="B29" s="246"/>
      <c r="C29" s="439"/>
      <c r="D29" s="246"/>
      <c r="E29" s="447"/>
      <c r="F29" s="246"/>
      <c r="G29" s="246"/>
      <c r="H29" s="438"/>
      <c r="I29" s="252">
        <f t="shared" si="2"/>
        <v>0</v>
      </c>
      <c r="J29" s="252">
        <f t="shared" si="3"/>
        <v>0</v>
      </c>
      <c r="K29" s="252">
        <f t="shared" si="4"/>
      </c>
      <c r="L29" s="252">
        <f t="shared" si="5"/>
        <v>0</v>
      </c>
      <c r="M29" s="252">
        <f t="shared" si="6"/>
      </c>
      <c r="N29" s="252">
        <f t="shared" si="7"/>
      </c>
      <c r="O29" s="252">
        <f t="shared" si="8"/>
      </c>
      <c r="P29" s="253">
        <f t="shared" si="9"/>
      </c>
      <c r="Q29" s="22"/>
      <c r="Y29" s="252">
        <f t="shared" si="10"/>
      </c>
      <c r="Z29" s="433">
        <f t="shared" si="1"/>
        <v>0</v>
      </c>
      <c r="AA29" s="252">
        <f t="shared" si="11"/>
      </c>
      <c r="AD29" s="438" t="b">
        <v>1</v>
      </c>
    </row>
    <row r="30" spans="1:30" s="164" customFormat="1" ht="21" customHeight="1">
      <c r="A30" s="245">
        <f t="shared" si="0"/>
        <v>23</v>
      </c>
      <c r="B30" s="246"/>
      <c r="C30" s="439"/>
      <c r="D30" s="246"/>
      <c r="E30" s="447"/>
      <c r="F30" s="246"/>
      <c r="G30" s="246"/>
      <c r="H30" s="438"/>
      <c r="I30" s="252">
        <f t="shared" si="2"/>
        <v>0</v>
      </c>
      <c r="J30" s="252">
        <f t="shared" si="3"/>
        <v>0</v>
      </c>
      <c r="K30" s="252">
        <f t="shared" si="4"/>
      </c>
      <c r="L30" s="252">
        <f t="shared" si="5"/>
        <v>0</v>
      </c>
      <c r="M30" s="252">
        <f t="shared" si="6"/>
      </c>
      <c r="N30" s="252">
        <f t="shared" si="7"/>
      </c>
      <c r="O30" s="252">
        <f t="shared" si="8"/>
      </c>
      <c r="P30" s="253">
        <f t="shared" si="9"/>
      </c>
      <c r="Q30" s="22"/>
      <c r="Y30" s="252">
        <f t="shared" si="10"/>
      </c>
      <c r="Z30" s="433">
        <f t="shared" si="1"/>
        <v>0</v>
      </c>
      <c r="AA30" s="252">
        <f t="shared" si="11"/>
      </c>
      <c r="AD30" s="438" t="b">
        <v>1</v>
      </c>
    </row>
    <row r="31" spans="1:30" s="164" customFormat="1" ht="21" customHeight="1">
      <c r="A31" s="245">
        <f t="shared" si="0"/>
        <v>24</v>
      </c>
      <c r="B31" s="246"/>
      <c r="C31" s="439"/>
      <c r="D31" s="246"/>
      <c r="E31" s="447"/>
      <c r="F31" s="246"/>
      <c r="G31" s="246"/>
      <c r="H31" s="438"/>
      <c r="I31" s="252">
        <f t="shared" si="2"/>
        <v>0</v>
      </c>
      <c r="J31" s="252">
        <f t="shared" si="3"/>
        <v>0</v>
      </c>
      <c r="K31" s="252">
        <f t="shared" si="4"/>
      </c>
      <c r="L31" s="252">
        <f t="shared" si="5"/>
        <v>0</v>
      </c>
      <c r="M31" s="252">
        <f t="shared" si="6"/>
      </c>
      <c r="N31" s="252">
        <f t="shared" si="7"/>
      </c>
      <c r="O31" s="252">
        <f t="shared" si="8"/>
      </c>
      <c r="P31" s="253">
        <f t="shared" si="9"/>
      </c>
      <c r="Q31" s="22"/>
      <c r="Y31" s="252">
        <f t="shared" si="10"/>
      </c>
      <c r="Z31" s="433">
        <f t="shared" si="1"/>
        <v>0</v>
      </c>
      <c r="AA31" s="252">
        <f t="shared" si="11"/>
      </c>
      <c r="AD31" s="438" t="b">
        <v>1</v>
      </c>
    </row>
    <row r="32" spans="2:27" s="440" customFormat="1" ht="15" hidden="1">
      <c r="B32" s="445"/>
      <c r="C32" s="446"/>
      <c r="D32" s="445"/>
      <c r="E32" s="445"/>
      <c r="F32" s="445"/>
      <c r="G32" s="445"/>
      <c r="H32" s="441"/>
      <c r="P32" s="442">
        <f>IF(G32="ДИ","ДИ",IF(AND(A32&lt;9,B32&lt;&gt;0),CONCATENATE(A32," ",G32),G32))</f>
        <v>0</v>
      </c>
      <c r="Q32" s="443"/>
      <c r="AA32" s="444">
        <f t="shared" si="11"/>
        <v>0</v>
      </c>
    </row>
    <row r="33" spans="1:27" s="165" customFormat="1" ht="12.75" customHeight="1">
      <c r="A33" s="565"/>
      <c r="B33" s="565"/>
      <c r="C33" s="167"/>
      <c r="D33" s="167"/>
      <c r="E33" s="167"/>
      <c r="F33" s="168"/>
      <c r="G33" s="166"/>
      <c r="H33" s="436"/>
      <c r="I33" s="254"/>
      <c r="J33" s="254"/>
      <c r="K33" s="254"/>
      <c r="L33" s="254"/>
      <c r="M33" s="254"/>
      <c r="N33" s="254"/>
      <c r="O33" s="254"/>
      <c r="P33" s="255"/>
      <c r="Q33" s="168"/>
      <c r="Y33" s="254"/>
      <c r="Z33" s="254"/>
      <c r="AA33" s="254"/>
    </row>
    <row r="34" spans="1:27" s="165" customFormat="1" ht="12.75" customHeight="1">
      <c r="A34" s="167"/>
      <c r="B34" s="167"/>
      <c r="C34" s="167"/>
      <c r="D34" s="167"/>
      <c r="E34" s="167"/>
      <c r="F34" s="168"/>
      <c r="G34" s="166"/>
      <c r="H34" s="436"/>
      <c r="I34" s="254"/>
      <c r="J34" s="254"/>
      <c r="K34" s="254"/>
      <c r="L34" s="254"/>
      <c r="M34" s="254"/>
      <c r="N34" s="254"/>
      <c r="O34" s="254"/>
      <c r="P34" s="255"/>
      <c r="Q34" s="168"/>
      <c r="Y34" s="254"/>
      <c r="Z34" s="254"/>
      <c r="AA34" s="254"/>
    </row>
    <row r="35" spans="1:27" s="165" customFormat="1" ht="12.75" customHeight="1">
      <c r="A35" s="167"/>
      <c r="B35" s="167"/>
      <c r="C35" s="167"/>
      <c r="D35" s="167"/>
      <c r="E35" s="167"/>
      <c r="F35" s="168"/>
      <c r="G35" s="166"/>
      <c r="H35" s="436"/>
      <c r="I35" s="254"/>
      <c r="J35" s="254"/>
      <c r="K35" s="254"/>
      <c r="L35" s="254"/>
      <c r="M35" s="254"/>
      <c r="N35" s="254"/>
      <c r="O35" s="254"/>
      <c r="P35" s="255"/>
      <c r="Q35" s="168"/>
      <c r="Y35" s="254"/>
      <c r="Z35" s="254"/>
      <c r="AA35" s="254"/>
    </row>
    <row r="36" spans="1:27" s="165" customFormat="1" ht="12.75" customHeight="1">
      <c r="A36" s="167"/>
      <c r="B36" s="167"/>
      <c r="C36" s="167"/>
      <c r="D36" s="167"/>
      <c r="E36" s="167"/>
      <c r="F36" s="168"/>
      <c r="G36" s="166"/>
      <c r="H36" s="436"/>
      <c r="I36" s="254"/>
      <c r="J36" s="254"/>
      <c r="K36" s="254"/>
      <c r="L36" s="254"/>
      <c r="M36" s="254"/>
      <c r="N36" s="254"/>
      <c r="O36" s="254"/>
      <c r="P36" s="255"/>
      <c r="Q36" s="168"/>
      <c r="Y36" s="254"/>
      <c r="Z36" s="254"/>
      <c r="AA36" s="254"/>
    </row>
    <row r="37" spans="1:27" s="165" customFormat="1" ht="12.75" customHeight="1">
      <c r="A37" s="167"/>
      <c r="B37" s="167"/>
      <c r="C37" s="167"/>
      <c r="D37" s="167"/>
      <c r="E37" s="167"/>
      <c r="F37" s="168"/>
      <c r="G37" s="166"/>
      <c r="H37" s="436"/>
      <c r="I37" s="254"/>
      <c r="J37" s="254"/>
      <c r="K37" s="254"/>
      <c r="L37" s="254"/>
      <c r="M37" s="254"/>
      <c r="N37" s="254"/>
      <c r="O37" s="254"/>
      <c r="P37" s="255"/>
      <c r="Q37" s="168"/>
      <c r="Y37" s="254"/>
      <c r="Z37" s="254"/>
      <c r="AA37" s="254"/>
    </row>
    <row r="38" spans="1:27" s="165" customFormat="1" ht="12.75" customHeight="1">
      <c r="A38" s="167"/>
      <c r="B38" s="167"/>
      <c r="C38" s="167"/>
      <c r="D38" s="167"/>
      <c r="E38" s="167"/>
      <c r="F38" s="168"/>
      <c r="G38" s="166"/>
      <c r="H38" s="436"/>
      <c r="I38" s="254"/>
      <c r="J38" s="254"/>
      <c r="K38" s="254"/>
      <c r="L38" s="254"/>
      <c r="M38" s="254"/>
      <c r="N38" s="254"/>
      <c r="O38" s="254"/>
      <c r="P38" s="255"/>
      <c r="Q38" s="168"/>
      <c r="Y38" s="254"/>
      <c r="Z38" s="254"/>
      <c r="AA38" s="254"/>
    </row>
    <row r="39" spans="1:27" s="165" customFormat="1" ht="12.75" customHeight="1">
      <c r="A39" s="167"/>
      <c r="B39" s="167"/>
      <c r="C39" s="167"/>
      <c r="D39" s="167"/>
      <c r="E39" s="167"/>
      <c r="F39" s="168"/>
      <c r="G39" s="166"/>
      <c r="H39" s="436"/>
      <c r="I39" s="254"/>
      <c r="J39" s="254"/>
      <c r="K39" s="254"/>
      <c r="L39" s="254"/>
      <c r="M39" s="254"/>
      <c r="N39" s="254"/>
      <c r="O39" s="254"/>
      <c r="P39" s="255"/>
      <c r="Q39" s="168"/>
      <c r="Y39" s="254"/>
      <c r="Z39" s="254"/>
      <c r="AA39" s="254"/>
    </row>
    <row r="40" spans="1:27" s="165" customFormat="1" ht="12.75" customHeight="1">
      <c r="A40" s="167"/>
      <c r="B40" s="167"/>
      <c r="C40" s="167"/>
      <c r="D40" s="167"/>
      <c r="E40" s="167"/>
      <c r="F40" s="168"/>
      <c r="G40" s="166"/>
      <c r="H40" s="436"/>
      <c r="I40" s="254"/>
      <c r="J40" s="254"/>
      <c r="K40" s="254"/>
      <c r="L40" s="254"/>
      <c r="M40" s="254"/>
      <c r="N40" s="254"/>
      <c r="O40" s="254"/>
      <c r="P40" s="255"/>
      <c r="Q40" s="168"/>
      <c r="Y40" s="254"/>
      <c r="Z40" s="254"/>
      <c r="AA40" s="254"/>
    </row>
    <row r="41" spans="1:27" s="165" customFormat="1" ht="12.75" customHeight="1">
      <c r="A41" s="167"/>
      <c r="B41" s="167"/>
      <c r="C41" s="167"/>
      <c r="D41" s="167"/>
      <c r="E41" s="167"/>
      <c r="F41" s="168"/>
      <c r="G41" s="166"/>
      <c r="H41" s="436"/>
      <c r="I41" s="254"/>
      <c r="J41" s="254"/>
      <c r="K41" s="254"/>
      <c r="L41" s="254"/>
      <c r="M41" s="254"/>
      <c r="N41" s="254"/>
      <c r="O41" s="254"/>
      <c r="P41" s="255"/>
      <c r="Q41" s="168"/>
      <c r="Y41" s="254"/>
      <c r="Z41" s="254"/>
      <c r="AA41" s="254"/>
    </row>
    <row r="42" spans="1:27" s="165" customFormat="1" ht="11.25" customHeight="1">
      <c r="A42" s="564"/>
      <c r="B42" s="564"/>
      <c r="C42" s="167"/>
      <c r="D42" s="167"/>
      <c r="E42" s="167"/>
      <c r="F42" s="168"/>
      <c r="G42" s="168"/>
      <c r="H42" s="437"/>
      <c r="I42" s="254"/>
      <c r="J42" s="254"/>
      <c r="K42" s="254"/>
      <c r="L42" s="254"/>
      <c r="M42" s="254"/>
      <c r="N42" s="254"/>
      <c r="O42" s="254"/>
      <c r="P42" s="255"/>
      <c r="Q42" s="168"/>
      <c r="Y42" s="254"/>
      <c r="Z42" s="254"/>
      <c r="AA42" s="254"/>
    </row>
    <row r="43" spans="1:27" s="165" customFormat="1" ht="12.75">
      <c r="A43" s="169"/>
      <c r="D43" s="170"/>
      <c r="E43" s="170"/>
      <c r="F43" s="166"/>
      <c r="G43" s="166"/>
      <c r="H43" s="436"/>
      <c r="I43" s="254"/>
      <c r="J43" s="254"/>
      <c r="K43" s="254"/>
      <c r="L43" s="254"/>
      <c r="M43" s="254"/>
      <c r="N43" s="254"/>
      <c r="O43" s="254"/>
      <c r="P43" s="255"/>
      <c r="Q43" s="168"/>
      <c r="Y43" s="254"/>
      <c r="Z43" s="254"/>
      <c r="AA43" s="254"/>
    </row>
    <row r="44" spans="1:27" s="165" customFormat="1" ht="12.75">
      <c r="A44" s="169"/>
      <c r="D44" s="170"/>
      <c r="E44" s="170"/>
      <c r="F44" s="166"/>
      <c r="G44" s="166"/>
      <c r="H44" s="436"/>
      <c r="I44" s="254"/>
      <c r="J44" s="254"/>
      <c r="K44" s="254"/>
      <c r="L44" s="254"/>
      <c r="M44" s="254"/>
      <c r="N44" s="254"/>
      <c r="O44" s="254"/>
      <c r="P44" s="255"/>
      <c r="Q44" s="168"/>
      <c r="Y44" s="254"/>
      <c r="Z44" s="254"/>
      <c r="AA44" s="254"/>
    </row>
    <row r="45" spans="1:27" s="165" customFormat="1" ht="12.75">
      <c r="A45" s="169"/>
      <c r="D45" s="170"/>
      <c r="E45" s="170"/>
      <c r="F45" s="166"/>
      <c r="G45" s="166"/>
      <c r="H45" s="436"/>
      <c r="I45" s="254"/>
      <c r="J45" s="254"/>
      <c r="K45" s="254"/>
      <c r="L45" s="254"/>
      <c r="M45" s="254"/>
      <c r="N45" s="254"/>
      <c r="O45" s="254"/>
      <c r="P45" s="255"/>
      <c r="Q45" s="168"/>
      <c r="Y45" s="254"/>
      <c r="Z45" s="254"/>
      <c r="AA45" s="254"/>
    </row>
    <row r="46" spans="1:5" ht="12.75">
      <c r="A46" s="54"/>
      <c r="D46" s="51"/>
      <c r="E46" s="51"/>
    </row>
    <row r="47" spans="1:5" ht="12.75">
      <c r="A47" s="54"/>
      <c r="D47" s="51"/>
      <c r="E47" s="51"/>
    </row>
    <row r="48" spans="1:5" ht="12.75">
      <c r="A48" s="54"/>
      <c r="D48" s="51"/>
      <c r="E48" s="51"/>
    </row>
    <row r="49" spans="1:5" ht="12.75">
      <c r="A49" s="54"/>
      <c r="D49" s="51"/>
      <c r="E49" s="51"/>
    </row>
    <row r="50" spans="1:27" s="225" customFormat="1" ht="12.75" customHeight="1" hidden="1">
      <c r="A50" s="223">
        <f>IF(C50&lt;=8,2,IF(C50&lt;=16,4,8))</f>
        <v>8</v>
      </c>
      <c r="B50" s="224"/>
      <c r="C50" s="226">
        <f>24-COUNTIF(C8:C31,"")</f>
        <v>18</v>
      </c>
      <c r="F50" s="227"/>
      <c r="G50" s="226"/>
      <c r="H50" s="258"/>
      <c r="I50" s="256"/>
      <c r="J50" s="257">
        <f>COUNTIF(J12:J43,"СК")</f>
        <v>0</v>
      </c>
      <c r="K50" s="258"/>
      <c r="L50" s="259"/>
      <c r="M50" s="259"/>
      <c r="N50" s="259"/>
      <c r="O50" s="259"/>
      <c r="P50" s="259"/>
      <c r="Q50" s="228"/>
      <c r="Y50" s="258"/>
      <c r="Z50" s="258"/>
      <c r="AA50" s="258"/>
    </row>
    <row r="51" spans="1:5" ht="12.75">
      <c r="A51" s="54"/>
      <c r="D51" s="51"/>
      <c r="E51" s="51"/>
    </row>
    <row r="52" spans="1:5" ht="12.75">
      <c r="A52" s="54"/>
      <c r="D52" s="51"/>
      <c r="E52" s="51"/>
    </row>
    <row r="53" spans="1:5" ht="12.75">
      <c r="A53" s="54"/>
      <c r="D53" s="51"/>
      <c r="E53" s="51"/>
    </row>
    <row r="54" spans="1:5" ht="12.75">
      <c r="A54" s="54"/>
      <c r="D54" s="51"/>
      <c r="E54" s="51"/>
    </row>
    <row r="55" spans="1:5" ht="12.75">
      <c r="A55" s="54"/>
      <c r="D55" s="51"/>
      <c r="E55" s="51"/>
    </row>
    <row r="56" spans="1:5" ht="12.75">
      <c r="A56" s="54"/>
      <c r="D56" s="51"/>
      <c r="E56" s="51"/>
    </row>
    <row r="57" spans="1:5" ht="12.75">
      <c r="A57" s="54"/>
      <c r="D57" s="51"/>
      <c r="E57" s="51"/>
    </row>
    <row r="58" spans="1:5" ht="12.75">
      <c r="A58" s="54"/>
      <c r="D58" s="51"/>
      <c r="E58" s="51"/>
    </row>
    <row r="59" spans="1:5" ht="12.75">
      <c r="A59" s="54"/>
      <c r="D59" s="51"/>
      <c r="E59" s="51"/>
    </row>
    <row r="60" spans="1:5" ht="12.75">
      <c r="A60" s="54"/>
      <c r="D60" s="51"/>
      <c r="E60" s="51"/>
    </row>
    <row r="61" spans="1:5" ht="12.75">
      <c r="A61" s="54"/>
      <c r="D61" s="51"/>
      <c r="E61" s="51"/>
    </row>
    <row r="62" spans="1:5" ht="12.75">
      <c r="A62" s="54"/>
      <c r="D62" s="51"/>
      <c r="E62" s="51"/>
    </row>
    <row r="63" spans="1:5" ht="12.75">
      <c r="A63" s="54"/>
      <c r="D63" s="51"/>
      <c r="E63" s="51"/>
    </row>
    <row r="64" spans="1:5" ht="12.75">
      <c r="A64" s="54"/>
      <c r="D64" s="51"/>
      <c r="E64" s="51"/>
    </row>
    <row r="65" spans="1:5" ht="12.75">
      <c r="A65" s="54"/>
      <c r="D65" s="51"/>
      <c r="E65" s="51"/>
    </row>
    <row r="66" spans="1:5" ht="12.75">
      <c r="A66" s="54"/>
      <c r="D66" s="51"/>
      <c r="E66" s="51"/>
    </row>
    <row r="67" spans="1:5" ht="12.75">
      <c r="A67" s="54"/>
      <c r="D67" s="51"/>
      <c r="E67" s="51"/>
    </row>
    <row r="68" spans="1:5" ht="12.75">
      <c r="A68" s="54"/>
      <c r="D68" s="51"/>
      <c r="E68" s="51"/>
    </row>
    <row r="69" spans="1:5" ht="12.75">
      <c r="A69" s="54"/>
      <c r="D69" s="51"/>
      <c r="E69" s="51"/>
    </row>
    <row r="70" spans="1:5" ht="12.75">
      <c r="A70" s="54"/>
      <c r="D70" s="51"/>
      <c r="E70" s="51"/>
    </row>
    <row r="71" spans="1:5" ht="12.75">
      <c r="A71" s="54"/>
      <c r="D71" s="51"/>
      <c r="E71" s="51"/>
    </row>
    <row r="72" spans="1:5" ht="12.75">
      <c r="A72" s="54"/>
      <c r="D72" s="51"/>
      <c r="E72" s="51"/>
    </row>
    <row r="73" spans="1:5" ht="12.75">
      <c r="A73" s="54"/>
      <c r="D73" s="51"/>
      <c r="E73" s="51"/>
    </row>
    <row r="74" spans="1:5" ht="12.75">
      <c r="A74" s="54"/>
      <c r="D74" s="51"/>
      <c r="E74" s="51"/>
    </row>
    <row r="75" spans="1:5" ht="12.75">
      <c r="A75" s="54"/>
      <c r="D75" s="51"/>
      <c r="E75" s="51"/>
    </row>
    <row r="76" spans="1:5" ht="12.75">
      <c r="A76" s="54"/>
      <c r="D76" s="51"/>
      <c r="E76" s="51"/>
    </row>
    <row r="77" spans="1:5" ht="12.75">
      <c r="A77" s="54"/>
      <c r="D77" s="51"/>
      <c r="E77" s="51"/>
    </row>
    <row r="78" spans="1:5" ht="12.75">
      <c r="A78" s="54"/>
      <c r="D78" s="51"/>
      <c r="E78" s="51"/>
    </row>
    <row r="79" spans="1:5" ht="12.75">
      <c r="A79" s="54"/>
      <c r="D79" s="51"/>
      <c r="E79" s="51"/>
    </row>
    <row r="80" spans="1:5" ht="12.75">
      <c r="A80" s="54"/>
      <c r="D80" s="51"/>
      <c r="E80" s="51"/>
    </row>
    <row r="81" spans="1:5" ht="12.75">
      <c r="A81" s="54"/>
      <c r="D81" s="51"/>
      <c r="E81" s="51"/>
    </row>
    <row r="82" spans="1:5" ht="12.75">
      <c r="A82" s="54"/>
      <c r="D82" s="51"/>
      <c r="E82" s="51"/>
    </row>
    <row r="83" spans="1:5" ht="12.75">
      <c r="A83" s="54"/>
      <c r="D83" s="51"/>
      <c r="E83" s="51"/>
    </row>
    <row r="84" spans="1:5" ht="12.75">
      <c r="A84" s="54"/>
      <c r="D84" s="51"/>
      <c r="E84" s="51"/>
    </row>
    <row r="85" spans="1:5" ht="12.75">
      <c r="A85" s="54"/>
      <c r="D85" s="51"/>
      <c r="E85" s="51"/>
    </row>
    <row r="86" spans="1:5" ht="12.75">
      <c r="A86" s="54"/>
      <c r="D86" s="51"/>
      <c r="E86" s="51"/>
    </row>
    <row r="87" spans="1:5" ht="12.75">
      <c r="A87" s="54"/>
      <c r="D87" s="51"/>
      <c r="E87" s="51"/>
    </row>
    <row r="88" spans="1:5" ht="12.75">
      <c r="A88" s="54"/>
      <c r="D88" s="51"/>
      <c r="E88" s="51"/>
    </row>
    <row r="89" spans="1:5" ht="12.75">
      <c r="A89" s="54"/>
      <c r="D89" s="51"/>
      <c r="E89" s="51"/>
    </row>
    <row r="90" spans="1:5" ht="12.75">
      <c r="A90" s="54"/>
      <c r="D90" s="51"/>
      <c r="E90" s="51"/>
    </row>
    <row r="91" spans="1:5" ht="12.75">
      <c r="A91" s="54"/>
      <c r="D91" s="51"/>
      <c r="E91" s="51"/>
    </row>
    <row r="92" spans="1:5" ht="12.75">
      <c r="A92" s="54"/>
      <c r="D92" s="51"/>
      <c r="E92" s="51"/>
    </row>
    <row r="93" spans="1:5" ht="12.75">
      <c r="A93" s="54"/>
      <c r="D93" s="51"/>
      <c r="E93" s="51"/>
    </row>
    <row r="94" spans="1:5" ht="12.75">
      <c r="A94" s="54"/>
      <c r="D94" s="51"/>
      <c r="E94" s="51"/>
    </row>
    <row r="95" spans="1:5" ht="12.75">
      <c r="A95" s="54"/>
      <c r="D95" s="51"/>
      <c r="E95" s="51"/>
    </row>
    <row r="96" spans="1:5" ht="12.75">
      <c r="A96" s="54"/>
      <c r="D96" s="51"/>
      <c r="E96" s="51"/>
    </row>
    <row r="97" spans="1:5" ht="12.75">
      <c r="A97" s="54"/>
      <c r="D97" s="51"/>
      <c r="E97" s="51"/>
    </row>
    <row r="98" spans="1:5" ht="12.75">
      <c r="A98" s="54"/>
      <c r="D98" s="51"/>
      <c r="E98" s="51"/>
    </row>
    <row r="99" spans="1:5" ht="12.75">
      <c r="A99" s="54"/>
      <c r="D99" s="51"/>
      <c r="E99" s="51"/>
    </row>
    <row r="100" spans="1:5" ht="12.75">
      <c r="A100" s="54"/>
      <c r="D100" s="51"/>
      <c r="E100" s="51"/>
    </row>
    <row r="101" spans="1:5" ht="12.75">
      <c r="A101" s="54"/>
      <c r="D101" s="51"/>
      <c r="E101" s="51"/>
    </row>
    <row r="102" spans="1:5" ht="12.75">
      <c r="A102" s="54"/>
      <c r="D102" s="51"/>
      <c r="E102" s="51"/>
    </row>
    <row r="103" spans="1:5" ht="12.75">
      <c r="A103" s="54"/>
      <c r="D103" s="51"/>
      <c r="E103" s="51"/>
    </row>
    <row r="104" spans="1:5" ht="12.75">
      <c r="A104" s="54"/>
      <c r="D104" s="51"/>
      <c r="E104" s="51"/>
    </row>
    <row r="105" spans="1:5" ht="12.75">
      <c r="A105" s="54"/>
      <c r="D105" s="51"/>
      <c r="E105" s="51"/>
    </row>
    <row r="106" spans="1:5" ht="12.75">
      <c r="A106" s="54"/>
      <c r="D106" s="51"/>
      <c r="E106" s="51"/>
    </row>
    <row r="107" spans="1:5" ht="12.75">
      <c r="A107" s="54"/>
      <c r="D107" s="51"/>
      <c r="E107" s="51"/>
    </row>
    <row r="108" spans="1:5" ht="12.75">
      <c r="A108" s="54"/>
      <c r="D108" s="51"/>
      <c r="E108" s="51"/>
    </row>
    <row r="109" spans="1:5" ht="12.75">
      <c r="A109" s="54"/>
      <c r="D109" s="51"/>
      <c r="E109" s="51"/>
    </row>
    <row r="110" spans="1:5" ht="12.75">
      <c r="A110" s="54"/>
      <c r="D110" s="51"/>
      <c r="E110" s="5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D117" s="51"/>
      <c r="E117" s="51"/>
    </row>
    <row r="118" spans="1:5" ht="12.75">
      <c r="A118" s="54"/>
      <c r="D118" s="51"/>
      <c r="E118" s="51"/>
    </row>
    <row r="119" spans="1:5" ht="12.75">
      <c r="A119" s="54"/>
      <c r="D119" s="51"/>
      <c r="E119" s="51"/>
    </row>
    <row r="120" spans="1:5" ht="12.75">
      <c r="A120" s="54"/>
      <c r="D120" s="51"/>
      <c r="E120" s="51"/>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4"/>
      <c r="D127" s="51"/>
      <c r="E127" s="51"/>
    </row>
    <row r="128" spans="1:5" ht="12.75">
      <c r="A128" s="54"/>
      <c r="D128" s="51"/>
      <c r="E128" s="51"/>
    </row>
    <row r="129" spans="1:5" ht="12.75">
      <c r="A129" s="54"/>
      <c r="D129" s="51"/>
      <c r="E129" s="51"/>
    </row>
    <row r="130" spans="1:5" ht="12.75">
      <c r="A130" s="51"/>
      <c r="D130" s="51"/>
      <c r="E130" s="51"/>
    </row>
    <row r="131" spans="1:5" ht="12.75">
      <c r="A131" s="51"/>
      <c r="D131" s="51"/>
      <c r="E131" s="51"/>
    </row>
    <row r="132" spans="1:5" ht="12.75">
      <c r="A132" s="51"/>
      <c r="D132" s="51"/>
      <c r="E132" s="51"/>
    </row>
    <row r="133" spans="1:5" ht="12.75">
      <c r="A133" s="51"/>
      <c r="D133" s="51"/>
      <c r="E133" s="51"/>
    </row>
    <row r="134" spans="1:5" ht="12.75">
      <c r="A134" s="51"/>
      <c r="D134" s="51"/>
      <c r="E134" s="51"/>
    </row>
    <row r="135" spans="1:5" ht="12.75">
      <c r="A135" s="51"/>
      <c r="D135" s="51"/>
      <c r="E135" s="51"/>
    </row>
    <row r="136" spans="1:5" ht="12.75">
      <c r="A136" s="51"/>
      <c r="D136" s="51"/>
      <c r="E136" s="51"/>
    </row>
    <row r="137" spans="1:5" ht="12.75">
      <c r="A137" s="51"/>
      <c r="D137" s="51"/>
      <c r="E137" s="51"/>
    </row>
    <row r="138" spans="1:5" ht="12.75">
      <c r="A138" s="51"/>
      <c r="D138" s="51"/>
      <c r="E138" s="51"/>
    </row>
    <row r="139" spans="1:5" ht="12.75">
      <c r="A139" s="51"/>
      <c r="D139" s="51"/>
      <c r="E139" s="51"/>
    </row>
    <row r="140" spans="1:5" ht="12.75">
      <c r="A140" s="51"/>
      <c r="D140" s="51"/>
      <c r="E140" s="51"/>
    </row>
    <row r="141" spans="1:5" ht="12.75">
      <c r="A141" s="51"/>
      <c r="D141" s="51"/>
      <c r="E141" s="51"/>
    </row>
    <row r="142" spans="1:5" ht="12.75">
      <c r="A142" s="51"/>
      <c r="D142" s="51"/>
      <c r="E142" s="51"/>
    </row>
    <row r="143" spans="1:5" ht="12.75">
      <c r="A143" s="51"/>
      <c r="D143" s="51"/>
      <c r="E143" s="51"/>
    </row>
    <row r="144" spans="1:5" ht="12.75">
      <c r="A144" s="51"/>
      <c r="D144" s="51"/>
      <c r="E144" s="51"/>
    </row>
    <row r="145" spans="1:5" ht="12.75">
      <c r="A145" s="51"/>
      <c r="D145" s="51"/>
      <c r="E145" s="51"/>
    </row>
    <row r="146" spans="1:5" ht="12.75">
      <c r="A146" s="51"/>
      <c r="D146" s="51"/>
      <c r="E146" s="51"/>
    </row>
    <row r="147" spans="1:5" ht="12.75">
      <c r="A147" s="51"/>
      <c r="D147" s="51"/>
      <c r="E147" s="51"/>
    </row>
    <row r="148" spans="1:5" ht="12.75">
      <c r="A148" s="51"/>
      <c r="D148" s="51"/>
      <c r="E148" s="51"/>
    </row>
    <row r="149" spans="1:5" ht="12.75">
      <c r="A149" s="51"/>
      <c r="D149" s="51"/>
      <c r="E149" s="51"/>
    </row>
    <row r="150" spans="1:5" ht="12.75">
      <c r="A150" s="51"/>
      <c r="D150" s="51"/>
      <c r="E150" s="51"/>
    </row>
    <row r="151" spans="1:5" ht="12.75">
      <c r="A151" s="51"/>
      <c r="D151" s="51"/>
      <c r="E151" s="51"/>
    </row>
    <row r="152" spans="1:5" ht="12.75">
      <c r="A152" s="51"/>
      <c r="D152" s="51"/>
      <c r="E152" s="51"/>
    </row>
    <row r="153" spans="1:5" ht="12.75">
      <c r="A153" s="51"/>
      <c r="D153" s="51"/>
      <c r="E153" s="51"/>
    </row>
    <row r="154" spans="1:5" ht="12.75">
      <c r="A154" s="51"/>
      <c r="D154" s="51"/>
      <c r="E154" s="51"/>
    </row>
    <row r="155" spans="1:5" ht="12.75">
      <c r="A155" s="51"/>
      <c r="D155" s="51"/>
      <c r="E155" s="51"/>
    </row>
    <row r="156" spans="1:5" ht="12.75">
      <c r="A156" s="51"/>
      <c r="D156" s="51"/>
      <c r="E156" s="51"/>
    </row>
    <row r="157" spans="1:5" ht="12.75">
      <c r="A157" s="51"/>
      <c r="D157" s="51"/>
      <c r="E157" s="51"/>
    </row>
    <row r="158" spans="1:5" ht="12.75">
      <c r="A158" s="51"/>
      <c r="D158" s="51"/>
      <c r="E158" s="51"/>
    </row>
    <row r="159" spans="1:5" ht="12.75">
      <c r="A159" s="51"/>
      <c r="D159" s="51"/>
      <c r="E159" s="51"/>
    </row>
    <row r="160" spans="1:5" ht="12.75">
      <c r="A160" s="51"/>
      <c r="D160" s="51"/>
      <c r="E160" s="51"/>
    </row>
    <row r="161" spans="1:5" ht="12.75">
      <c r="A161" s="51"/>
      <c r="D161" s="51"/>
      <c r="E161" s="51"/>
    </row>
    <row r="162" spans="1:5" ht="12.75">
      <c r="A162" s="51"/>
      <c r="D162" s="51"/>
      <c r="E162" s="51"/>
    </row>
    <row r="163" spans="1:5" ht="12.75">
      <c r="A163" s="51"/>
      <c r="D163" s="51"/>
      <c r="E163" s="51"/>
    </row>
    <row r="164" spans="1:5" ht="12.75">
      <c r="A164" s="51"/>
      <c r="D164" s="51"/>
      <c r="E164" s="51"/>
    </row>
    <row r="165" spans="1:5" ht="12.75">
      <c r="A165" s="51"/>
      <c r="D165" s="51"/>
      <c r="E165" s="51"/>
    </row>
    <row r="166" spans="1:5" ht="12.75">
      <c r="A166" s="51"/>
      <c r="D166" s="51"/>
      <c r="E166" s="51"/>
    </row>
    <row r="167" spans="1:5" ht="12.75">
      <c r="A167" s="51"/>
      <c r="D167" s="51"/>
      <c r="E167" s="51"/>
    </row>
    <row r="168" spans="1:5" ht="12.75">
      <c r="A168" s="51"/>
      <c r="D168" s="51"/>
      <c r="E168" s="51"/>
    </row>
    <row r="169" spans="1:5" ht="12.75">
      <c r="A169" s="51"/>
      <c r="D169" s="51"/>
      <c r="E169" s="51"/>
    </row>
    <row r="170" spans="1:5" ht="12.75">
      <c r="A170" s="51"/>
      <c r="D170" s="51"/>
      <c r="E170" s="51"/>
    </row>
    <row r="171" spans="1:5" ht="12.75">
      <c r="A171" s="51"/>
      <c r="D171" s="51"/>
      <c r="E171" s="51"/>
    </row>
    <row r="172" spans="1:5" ht="12.75">
      <c r="A172" s="51"/>
      <c r="D172" s="51"/>
      <c r="E172" s="51"/>
    </row>
    <row r="173" spans="1:5" ht="12.75">
      <c r="A173" s="51"/>
      <c r="D173" s="51"/>
      <c r="E173" s="51"/>
    </row>
    <row r="174" spans="1:5" ht="12.75">
      <c r="A174" s="51"/>
      <c r="D174" s="51"/>
      <c r="E174" s="51"/>
    </row>
    <row r="175" spans="1:5" ht="12.75">
      <c r="A175" s="51"/>
      <c r="D175" s="51"/>
      <c r="E175" s="51"/>
    </row>
    <row r="176" spans="1:5" ht="12.75">
      <c r="A176" s="51"/>
      <c r="D176" s="51"/>
      <c r="E176" s="51"/>
    </row>
    <row r="177" spans="1:5" ht="12.75">
      <c r="A177" s="51"/>
      <c r="D177" s="51"/>
      <c r="E177" s="51"/>
    </row>
    <row r="178" spans="1:5" ht="12.75">
      <c r="A178" s="51"/>
      <c r="D178" s="51"/>
      <c r="E178" s="51"/>
    </row>
    <row r="179" spans="1:5" ht="12.75">
      <c r="A179" s="51"/>
      <c r="D179" s="51"/>
      <c r="E179" s="51"/>
    </row>
    <row r="180" spans="1:5" ht="12.75">
      <c r="A180" s="51"/>
      <c r="D180" s="51"/>
      <c r="E180" s="51"/>
    </row>
    <row r="181" spans="1:5" ht="12.75">
      <c r="A181" s="51"/>
      <c r="D181" s="51"/>
      <c r="E181" s="51"/>
    </row>
    <row r="182" spans="1:5" ht="12.75">
      <c r="A182" s="51"/>
      <c r="D182" s="51"/>
      <c r="E182" s="51"/>
    </row>
    <row r="183" spans="1:5" ht="12.75">
      <c r="A183" s="51"/>
      <c r="D183" s="51"/>
      <c r="E183" s="51"/>
    </row>
    <row r="184" spans="1:5" ht="12.75">
      <c r="A184" s="51"/>
      <c r="D184" s="51"/>
      <c r="E184" s="51"/>
    </row>
    <row r="185" spans="1:5" ht="12.75">
      <c r="A185" s="51"/>
      <c r="D185" s="51"/>
      <c r="E185" s="51"/>
    </row>
    <row r="186" spans="1:5" ht="12.75">
      <c r="A186" s="51"/>
      <c r="D186" s="51"/>
      <c r="E186" s="51"/>
    </row>
    <row r="187" spans="1:5" ht="12.75">
      <c r="A187" s="51"/>
      <c r="D187" s="51"/>
      <c r="E187" s="51"/>
    </row>
    <row r="188" spans="1:5" ht="12.75">
      <c r="A188" s="51"/>
      <c r="D188" s="51"/>
      <c r="E188" s="51"/>
    </row>
    <row r="189" spans="1:5" ht="12.75">
      <c r="A189" s="51"/>
      <c r="D189" s="51"/>
      <c r="E189" s="51"/>
    </row>
    <row r="190" spans="1:5" ht="12.75">
      <c r="A190" s="51"/>
      <c r="D190" s="51"/>
      <c r="E190" s="51"/>
    </row>
    <row r="191" spans="1:5" ht="12.75">
      <c r="A191" s="51"/>
      <c r="D191" s="51"/>
      <c r="E191" s="51"/>
    </row>
    <row r="192" spans="1:5" ht="12.75">
      <c r="A192" s="51"/>
      <c r="D192" s="51"/>
      <c r="E192" s="51"/>
    </row>
    <row r="193" spans="1:5" ht="12.75">
      <c r="A193" s="51"/>
      <c r="D193" s="51"/>
      <c r="E193" s="51"/>
    </row>
    <row r="194" spans="1:5" ht="12.75">
      <c r="A194" s="51"/>
      <c r="D194" s="51"/>
      <c r="E194" s="51"/>
    </row>
    <row r="195" spans="1:5" ht="12.75">
      <c r="A195" s="51"/>
      <c r="D195" s="51"/>
      <c r="E195" s="51"/>
    </row>
    <row r="196" spans="1:5" ht="12.75">
      <c r="A196" s="51"/>
      <c r="D196" s="51"/>
      <c r="E196" s="51"/>
    </row>
    <row r="197" spans="1:5" ht="12.75">
      <c r="A197" s="51"/>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row r="239" spans="1:5" ht="12.75">
      <c r="A239" s="51"/>
      <c r="D239" s="51"/>
      <c r="E239" s="51"/>
    </row>
    <row r="240" spans="1:5" ht="12.75">
      <c r="A240" s="51"/>
      <c r="D240" s="51"/>
      <c r="E240" s="51"/>
    </row>
    <row r="241" spans="1:5" ht="12.75">
      <c r="A241" s="51"/>
      <c r="D241" s="51"/>
      <c r="E241" s="51"/>
    </row>
  </sheetData>
  <sheetProtection sheet="1" objects="1" scenarios="1" selectLockedCells="1"/>
  <mergeCells count="6">
    <mergeCell ref="A42:B42"/>
    <mergeCell ref="A33:B33"/>
    <mergeCell ref="B1:F1"/>
    <mergeCell ref="B2:F2"/>
    <mergeCell ref="B3:F3"/>
    <mergeCell ref="D4:F4"/>
  </mergeCells>
  <conditionalFormatting sqref="A8:A9">
    <cfRule type="expression" priority="1" dxfId="49" stopIfTrue="1">
      <formula>$B8&gt;0</formula>
    </cfRule>
  </conditionalFormatting>
  <conditionalFormatting sqref="A10:A11">
    <cfRule type="expression" priority="2" dxfId="50" stopIfTrue="1">
      <formula>AND($C$50&gt;8,$B10&gt;0)</formula>
    </cfRule>
  </conditionalFormatting>
  <conditionalFormatting sqref="A12:A15">
    <cfRule type="expression" priority="3" dxfId="50" stopIfTrue="1">
      <formula>AND($C$50&gt;16,$B12&gt;0)</formula>
    </cfRule>
  </conditionalFormatting>
  <conditionalFormatting sqref="C8:G32 B32">
    <cfRule type="expression" priority="4" dxfId="33" stopIfTrue="1">
      <formula>AND($H8="",$C8&lt;&gt;"")</formula>
    </cfRule>
  </conditionalFormatting>
  <conditionalFormatting sqref="B8:B31">
    <cfRule type="expression" priority="5" dxfId="51" stopIfTrue="1">
      <formula>AND($B8&lt;&gt;0,COUNTIF($B$8:$B$39,$B8)&gt;1)</formula>
    </cfRule>
    <cfRule type="expression" priority="6" dxfId="33" stopIfTrue="1">
      <formula>AND($H8="",$C8&lt;&gt;"")</formula>
    </cfRule>
  </conditionalFormatting>
  <printOptions horizontalCentered="1"/>
  <pageMargins left="0.29" right="0.24" top="0.25" bottom="0.26" header="0.25" footer="0.26"/>
  <pageSetup fitToHeight="1" fitToWidth="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AF100"/>
  <sheetViews>
    <sheetView showGridLines="0" showRowColHeaders="0" showZeros="0" tabSelected="1" zoomScalePageLayoutView="0" workbookViewId="0" topLeftCell="A1">
      <pane ySplit="10" topLeftCell="A25" activePane="bottomLeft" state="frozen"/>
      <selection pane="topLeft" activeCell="A5" sqref="A5:R5"/>
      <selection pane="bottomLeft" activeCell="T28" sqref="T28:W28"/>
    </sheetView>
  </sheetViews>
  <sheetFormatPr defaultColWidth="9.00390625" defaultRowHeight="12.75"/>
  <cols>
    <col min="1" max="1" width="5.75390625" style="11" customWidth="1"/>
    <col min="2" max="2" width="6.875" style="11" customWidth="1"/>
    <col min="3" max="3" width="6.25390625" style="423" customWidth="1"/>
    <col min="4" max="4" width="14.75390625" style="26" customWidth="1"/>
    <col min="5" max="5" width="4.75390625" style="26" customWidth="1"/>
    <col min="6" max="6" width="12.00390625" style="26" customWidth="1"/>
    <col min="7" max="7" width="2.75390625" style="11" customWidth="1"/>
    <col min="8" max="9" width="7.75390625" style="11" customWidth="1"/>
    <col min="10" max="10" width="4.75390625" style="11" hidden="1" customWidth="1"/>
    <col min="11" max="11" width="2.75390625" style="11" customWidth="1"/>
    <col min="12" max="13" width="7.75390625" style="11" customWidth="1"/>
    <col min="14" max="14" width="4.75390625" style="11" hidden="1" customWidth="1"/>
    <col min="15" max="15" width="2.75390625" style="11" customWidth="1"/>
    <col min="16" max="17" width="7.75390625" style="26" customWidth="1"/>
    <col min="18" max="18" width="4.75390625" style="26" hidden="1" customWidth="1"/>
    <col min="19" max="19" width="2.75390625" style="26" customWidth="1"/>
    <col min="20" max="21" width="7.75390625" style="32" customWidth="1"/>
    <col min="22" max="22" width="4.75390625" style="32" customWidth="1"/>
    <col min="23" max="23" width="2.75390625" style="26" customWidth="1"/>
    <col min="24" max="24" width="10.125" style="11" customWidth="1"/>
    <col min="25" max="26" width="9.125" style="11" customWidth="1"/>
    <col min="27" max="32" width="12.25390625" style="415" hidden="1" customWidth="1"/>
    <col min="33" max="16384" width="9.125" style="11" customWidth="1"/>
  </cols>
  <sheetData>
    <row r="1" spans="1:23" ht="20.25" customHeight="1">
      <c r="A1" s="10"/>
      <c r="B1" s="10"/>
      <c r="C1" s="420"/>
      <c r="D1" s="561" t="s">
        <v>149</v>
      </c>
      <c r="E1" s="561"/>
      <c r="F1" s="561"/>
      <c r="G1" s="561"/>
      <c r="H1" s="561"/>
      <c r="I1" s="561"/>
      <c r="J1" s="561"/>
      <c r="K1" s="561"/>
      <c r="L1" s="561"/>
      <c r="M1" s="561"/>
      <c r="N1" s="561"/>
      <c r="O1" s="561"/>
      <c r="P1" s="561"/>
      <c r="Q1" s="561"/>
      <c r="R1" s="561"/>
      <c r="S1" s="561"/>
      <c r="T1" s="561"/>
      <c r="U1" s="42"/>
      <c r="V1" s="10"/>
      <c r="W1" s="10"/>
    </row>
    <row r="2" spans="1:32" s="12" customFormat="1" ht="18">
      <c r="A2" s="4"/>
      <c r="B2" s="4"/>
      <c r="C2" s="421"/>
      <c r="D2" s="592" t="str">
        <f>UPPER(Установка!C3)</f>
        <v>"КУБОК ЮЖНОГО УРАЛА"</v>
      </c>
      <c r="E2" s="592"/>
      <c r="F2" s="592"/>
      <c r="G2" s="592"/>
      <c r="H2" s="592"/>
      <c r="I2" s="592"/>
      <c r="J2" s="592"/>
      <c r="K2" s="592"/>
      <c r="L2" s="592"/>
      <c r="M2" s="592"/>
      <c r="N2" s="592"/>
      <c r="O2" s="592"/>
      <c r="P2" s="592"/>
      <c r="Q2" s="592"/>
      <c r="R2" s="592"/>
      <c r="S2" s="592"/>
      <c r="T2" s="592"/>
      <c r="U2" s="79"/>
      <c r="V2" s="79"/>
      <c r="W2" s="77"/>
      <c r="AA2" s="416"/>
      <c r="AB2" s="416"/>
      <c r="AC2" s="416"/>
      <c r="AD2" s="416"/>
      <c r="AE2" s="416"/>
      <c r="AF2" s="416"/>
    </row>
    <row r="3" spans="3:32" s="12" customFormat="1" ht="8.25" customHeight="1">
      <c r="C3" s="422"/>
      <c r="D3" s="593" t="s">
        <v>3</v>
      </c>
      <c r="E3" s="593"/>
      <c r="F3" s="593"/>
      <c r="G3" s="593"/>
      <c r="H3" s="593"/>
      <c r="I3" s="593"/>
      <c r="J3" s="593"/>
      <c r="K3" s="593"/>
      <c r="L3" s="593"/>
      <c r="M3" s="593"/>
      <c r="N3" s="593"/>
      <c r="O3" s="593"/>
      <c r="P3" s="593"/>
      <c r="Q3" s="593"/>
      <c r="R3" s="593"/>
      <c r="S3" s="593"/>
      <c r="T3" s="593"/>
      <c r="U3" s="80"/>
      <c r="V3" s="80"/>
      <c r="W3" s="27"/>
      <c r="AA3" s="416"/>
      <c r="AB3" s="416"/>
      <c r="AC3" s="416"/>
      <c r="AD3" s="416"/>
      <c r="AE3" s="416"/>
      <c r="AF3" s="416"/>
    </row>
    <row r="4" spans="3:23" ht="11.25" customHeight="1">
      <c r="C4" s="157"/>
      <c r="D4" s="582" t="s">
        <v>162</v>
      </c>
      <c r="E4" s="582"/>
      <c r="F4" s="582"/>
      <c r="G4" s="582"/>
      <c r="H4" s="582"/>
      <c r="I4" s="582"/>
      <c r="J4" s="582"/>
      <c r="K4" s="582"/>
      <c r="L4" s="582"/>
      <c r="M4" s="582"/>
      <c r="N4" s="582"/>
      <c r="O4" s="582"/>
      <c r="P4" s="582"/>
      <c r="Q4" s="582"/>
      <c r="R4" s="582"/>
      <c r="S4" s="582"/>
      <c r="T4" s="582"/>
      <c r="U4" s="13"/>
      <c r="V4" s="13"/>
      <c r="W4" s="30"/>
    </row>
    <row r="5" spans="8:22" ht="12" customHeight="1">
      <c r="H5" s="658" t="s">
        <v>8</v>
      </c>
      <c r="I5" s="658"/>
      <c r="J5" s="658"/>
      <c r="K5" s="658"/>
      <c r="L5" s="658"/>
      <c r="M5" s="657" t="str">
        <f>UPPER(Установка!C4)</f>
        <v>ДО 15 ЛЕТ</v>
      </c>
      <c r="N5" s="657"/>
      <c r="O5" s="657"/>
      <c r="P5" s="657"/>
      <c r="Q5" s="657"/>
      <c r="R5" s="657"/>
      <c r="S5" s="158"/>
      <c r="T5" s="594" t="str">
        <f>IF(Установка!$C$5="","Ю/Д/М/Ж",UPPER(Установка!$C$5))</f>
        <v>ЮНОШИ</v>
      </c>
      <c r="U5" s="594"/>
      <c r="V5" s="594"/>
    </row>
    <row r="6" spans="1:32" s="85" customFormat="1" ht="21" customHeight="1">
      <c r="A6" s="101"/>
      <c r="B6" s="101"/>
      <c r="C6" s="424"/>
      <c r="D6" s="101" t="s">
        <v>4</v>
      </c>
      <c r="E6" s="586" t="str">
        <f>UPPER(Установка!C6)</f>
        <v>Г.ЧЕЛЯБИНСК</v>
      </c>
      <c r="F6" s="586"/>
      <c r="G6" s="81"/>
      <c r="H6" s="651" t="s">
        <v>0</v>
      </c>
      <c r="I6" s="651"/>
      <c r="J6" s="651"/>
      <c r="K6" s="82"/>
      <c r="L6" s="652" t="str">
        <f>UPPER(Установка!C7)</f>
        <v>30.04.16-06.05.16</v>
      </c>
      <c r="M6" s="652"/>
      <c r="N6" s="652"/>
      <c r="O6" s="83"/>
      <c r="P6" s="587" t="s">
        <v>29</v>
      </c>
      <c r="Q6" s="587"/>
      <c r="R6" s="587"/>
      <c r="S6" s="84"/>
      <c r="T6" s="586" t="str">
        <f>UPPER(Установка!C8)</f>
        <v>IVБ</v>
      </c>
      <c r="U6" s="586"/>
      <c r="V6" s="586"/>
      <c r="W6" s="586"/>
      <c r="AA6" s="417"/>
      <c r="AB6" s="417"/>
      <c r="AC6" s="417"/>
      <c r="AD6" s="417"/>
      <c r="AE6" s="417"/>
      <c r="AF6" s="417"/>
    </row>
    <row r="7" spans="1:23" ht="18" customHeight="1">
      <c r="A7" s="10"/>
      <c r="B7" s="10"/>
      <c r="C7" s="425">
        <v>1</v>
      </c>
      <c r="D7" s="561" t="s">
        <v>9</v>
      </c>
      <c r="E7" s="561"/>
      <c r="F7" s="561"/>
      <c r="G7" s="561"/>
      <c r="H7" s="561"/>
      <c r="I7" s="561"/>
      <c r="J7" s="561"/>
      <c r="K7" s="561"/>
      <c r="L7" s="561"/>
      <c r="M7" s="561"/>
      <c r="N7" s="561"/>
      <c r="O7" s="561"/>
      <c r="P7" s="561"/>
      <c r="Q7" s="561"/>
      <c r="R7" s="561"/>
      <c r="S7" s="561"/>
      <c r="T7" s="561"/>
      <c r="U7" s="42"/>
      <c r="V7" s="10"/>
      <c r="W7" s="10"/>
    </row>
    <row r="8" spans="1:23" ht="6" customHeight="1">
      <c r="A8" s="640" t="s">
        <v>10</v>
      </c>
      <c r="B8" s="643" t="s">
        <v>11</v>
      </c>
      <c r="C8" s="583">
        <f>MAX(C11:C74)+1</f>
        <v>19</v>
      </c>
      <c r="D8" s="588" t="s">
        <v>5</v>
      </c>
      <c r="E8" s="589"/>
      <c r="F8" s="589" t="s">
        <v>26</v>
      </c>
      <c r="G8" s="68"/>
      <c r="H8" s="38"/>
      <c r="I8" s="38"/>
      <c r="J8" s="20"/>
      <c r="K8" s="20"/>
      <c r="L8" s="20"/>
      <c r="M8" s="20"/>
      <c r="N8" s="20"/>
      <c r="O8" s="20"/>
      <c r="P8" s="74"/>
      <c r="Q8" s="74"/>
      <c r="R8" s="74"/>
      <c r="S8" s="74"/>
      <c r="T8" s="78"/>
      <c r="U8" s="78"/>
      <c r="V8" s="78"/>
      <c r="W8" s="74"/>
    </row>
    <row r="9" spans="1:32" ht="10.5" customHeight="1">
      <c r="A9" s="641"/>
      <c r="B9" s="644"/>
      <c r="C9" s="584"/>
      <c r="D9" s="588"/>
      <c r="E9" s="589"/>
      <c r="F9" s="589"/>
      <c r="G9" s="68"/>
      <c r="H9" s="39"/>
      <c r="I9" s="650" t="s">
        <v>12</v>
      </c>
      <c r="J9" s="650"/>
      <c r="K9" s="650"/>
      <c r="L9" s="650"/>
      <c r="M9" s="650" t="s">
        <v>13</v>
      </c>
      <c r="N9" s="650"/>
      <c r="O9" s="650"/>
      <c r="P9" s="650"/>
      <c r="Q9" s="650" t="s">
        <v>14</v>
      </c>
      <c r="R9" s="650"/>
      <c r="S9" s="650"/>
      <c r="T9" s="650"/>
      <c r="U9" s="589" t="s">
        <v>15</v>
      </c>
      <c r="V9" s="589"/>
      <c r="W9" s="589"/>
      <c r="X9" s="589"/>
      <c r="AA9" s="566" t="s">
        <v>130</v>
      </c>
      <c r="AB9" s="566" t="s">
        <v>126</v>
      </c>
      <c r="AC9" s="566" t="s">
        <v>129</v>
      </c>
      <c r="AD9" s="566" t="s">
        <v>127</v>
      </c>
      <c r="AE9" s="566" t="s">
        <v>128</v>
      </c>
      <c r="AF9" s="566" t="s">
        <v>131</v>
      </c>
    </row>
    <row r="10" spans="1:32" s="15" customFormat="1" ht="10.5" customHeight="1">
      <c r="A10" s="642"/>
      <c r="B10" s="645"/>
      <c r="C10" s="585"/>
      <c r="D10" s="590"/>
      <c r="E10" s="591"/>
      <c r="F10" s="591"/>
      <c r="G10" s="69"/>
      <c r="H10" s="40"/>
      <c r="I10" s="653" t="s">
        <v>16</v>
      </c>
      <c r="J10" s="653"/>
      <c r="K10" s="653"/>
      <c r="L10" s="653"/>
      <c r="M10" s="653" t="s">
        <v>16</v>
      </c>
      <c r="N10" s="653"/>
      <c r="O10" s="653"/>
      <c r="P10" s="653"/>
      <c r="Q10" s="653" t="s">
        <v>16</v>
      </c>
      <c r="R10" s="653"/>
      <c r="S10" s="653"/>
      <c r="T10" s="653"/>
      <c r="U10" s="591"/>
      <c r="V10" s="591"/>
      <c r="W10" s="591"/>
      <c r="X10" s="591"/>
      <c r="AA10" s="566"/>
      <c r="AB10" s="566"/>
      <c r="AC10" s="566"/>
      <c r="AD10" s="566"/>
      <c r="AE10" s="566"/>
      <c r="AF10" s="566"/>
    </row>
    <row r="11" spans="1:32" s="15" customFormat="1" ht="12" customHeight="1">
      <c r="A11" s="646" t="str">
        <f>IF($C11="","1",IF(AND($C11&gt;=1,$C11&lt;25),INDEX(ПодгОТ!$P$8:$P$31,C11),""))</f>
        <v>1 </v>
      </c>
      <c r="B11" s="638">
        <v>1</v>
      </c>
      <c r="C11" s="635">
        <v>1</v>
      </c>
      <c r="D11" s="627" t="str">
        <f>IF($C11="","",IF(AND($C11&gt;=1,$C11&lt;25),VLOOKUP($C11,ПодгОТ!$A$8:$AA$31,27),"Х"))</f>
        <v>ТИХОНОВ</v>
      </c>
      <c r="E11" s="619" t="str">
        <f>IF(AND($C11&gt;=1,$C11&lt;25),VLOOKUP($C11,ПодгОТ!$A$8:$P$31,15),"")</f>
        <v>И.А.</v>
      </c>
      <c r="F11" s="619" t="str">
        <f>IF(AND($C11&gt;=1,$C11&lt;25),VLOOKUP($C11,ПодгОТ!$A$8:$P$31,6),"")</f>
        <v>Курган</v>
      </c>
      <c r="G11" s="70"/>
      <c r="H11" s="37"/>
      <c r="I11" s="37"/>
      <c r="J11" s="14"/>
      <c r="K11" s="156"/>
      <c r="L11" s="14"/>
      <c r="M11" s="14"/>
      <c r="N11" s="14"/>
      <c r="O11" s="156"/>
      <c r="P11" s="75"/>
      <c r="Q11" s="75"/>
      <c r="R11" s="75"/>
      <c r="S11" s="75"/>
      <c r="T11" s="75"/>
      <c r="U11" s="75"/>
      <c r="V11" s="75"/>
      <c r="W11" s="75"/>
      <c r="AA11" s="418"/>
      <c r="AB11" s="418"/>
      <c r="AC11" s="418"/>
      <c r="AD11" s="418"/>
      <c r="AE11" s="418"/>
      <c r="AF11" s="418"/>
    </row>
    <row r="12" spans="1:32" s="13" customFormat="1" ht="12" customHeight="1">
      <c r="A12" s="647"/>
      <c r="B12" s="639"/>
      <c r="C12" s="636"/>
      <c r="D12" s="628"/>
      <c r="E12" s="620"/>
      <c r="F12" s="623"/>
      <c r="G12" s="572" t="str">
        <f>IF(G14=0,CONCATENATE("поб.",D11,"/",D13),IF(G14=1,D11,IF(G14=2,D13,"Х")))</f>
        <v>ТИХОНОВ</v>
      </c>
      <c r="H12" s="572"/>
      <c r="I12" s="572"/>
      <c r="J12" s="572" t="str">
        <f>IF(G14=1,E11,IF(G14=2,E13,""))</f>
        <v>И.А.</v>
      </c>
      <c r="K12" s="72"/>
      <c r="L12" s="575"/>
      <c r="M12" s="575"/>
      <c r="N12" s="575"/>
      <c r="O12" s="160"/>
      <c r="P12" s="569"/>
      <c r="Q12" s="569"/>
      <c r="R12" s="569"/>
      <c r="S12" s="36"/>
      <c r="T12" s="569"/>
      <c r="U12" s="569"/>
      <c r="V12" s="569"/>
      <c r="W12" s="637"/>
      <c r="X12" s="16"/>
      <c r="AA12" s="419"/>
      <c r="AB12" s="419"/>
      <c r="AC12" s="419"/>
      <c r="AD12" s="419"/>
      <c r="AE12" s="419"/>
      <c r="AF12" s="419"/>
    </row>
    <row r="13" spans="1:32" s="13" customFormat="1" ht="12" customHeight="1">
      <c r="A13" s="646">
        <f>IF($C13="","",IF(AND($C13&gt;=1,$C13&lt;25),INDEX(ПодгОТ!$P$8:$P$31,C13),""))</f>
      </c>
      <c r="B13" s="638">
        <v>2</v>
      </c>
      <c r="C13" s="631" t="s">
        <v>48</v>
      </c>
      <c r="D13" s="625" t="str">
        <f>IF($C13="","",IF(AND($C13&gt;=1,$C13&lt;25),VLOOKUP($C13,ПодгОТ!$A$8:$AA$31,27),"Х"))</f>
        <v>Х</v>
      </c>
      <c r="E13" s="624">
        <f>IF(AND($C13&gt;=1,$C13&lt;25),VLOOKUP($C13,ПодгОТ!$A$8:$P$31,15),"")</f>
      </c>
      <c r="F13" s="629">
        <f>IF(AND($C13&gt;=1,$C13&lt;25),VLOOKUP($C13,ПодгОТ!$A$8:$P$31,6),"")</f>
      </c>
      <c r="G13" s="574"/>
      <c r="H13" s="574"/>
      <c r="I13" s="574"/>
      <c r="J13" s="574"/>
      <c r="K13" s="72"/>
      <c r="L13" s="575"/>
      <c r="M13" s="575"/>
      <c r="N13" s="575"/>
      <c r="O13" s="160"/>
      <c r="P13" s="569"/>
      <c r="Q13" s="569"/>
      <c r="R13" s="569"/>
      <c r="S13" s="36"/>
      <c r="T13" s="569"/>
      <c r="U13" s="569"/>
      <c r="V13" s="569"/>
      <c r="W13" s="637"/>
      <c r="X13" s="16"/>
      <c r="AA13" s="419"/>
      <c r="AB13" s="419"/>
      <c r="AC13" s="419"/>
      <c r="AD13" s="419"/>
      <c r="AE13" s="419"/>
      <c r="AF13" s="419"/>
    </row>
    <row r="14" spans="1:32" s="13" customFormat="1" ht="12" customHeight="1">
      <c r="A14" s="647"/>
      <c r="B14" s="639"/>
      <c r="C14" s="632"/>
      <c r="D14" s="626"/>
      <c r="E14" s="620"/>
      <c r="F14" s="630"/>
      <c r="G14" s="525">
        <v>1</v>
      </c>
      <c r="H14" s="580"/>
      <c r="I14" s="580"/>
      <c r="J14" s="581"/>
      <c r="K14" s="571" t="str">
        <f>IF(K16=0,CONCATENATE("поб.",G12,"/",G16),IF(K16=1,G12,IF(K16=2,G16,"Х")))</f>
        <v>ТИХОНОВ</v>
      </c>
      <c r="L14" s="572"/>
      <c r="M14" s="572"/>
      <c r="N14" s="572" t="str">
        <f>IF(K16=1,J12,IF(K16=2,J16,""))</f>
        <v>И.А.</v>
      </c>
      <c r="O14" s="72"/>
      <c r="P14" s="569"/>
      <c r="Q14" s="569"/>
      <c r="R14" s="569"/>
      <c r="S14" s="36"/>
      <c r="T14" s="569"/>
      <c r="U14" s="569"/>
      <c r="V14" s="569"/>
      <c r="W14" s="637"/>
      <c r="X14" s="16"/>
      <c r="AA14" s="419">
        <f>IF(OR(G14=3,G14=0),0,(IF(G14=1,C11,C13)))</f>
        <v>1</v>
      </c>
      <c r="AB14" s="419" t="str">
        <f>IF(OR(G14=3,G14=0),0,(IF(G14=1,C13,C11)))</f>
        <v>Х</v>
      </c>
      <c r="AC14" s="419"/>
      <c r="AD14" s="419"/>
      <c r="AE14" s="419"/>
      <c r="AF14" s="419"/>
    </row>
    <row r="15" spans="1:32" s="13" customFormat="1" ht="12" customHeight="1">
      <c r="A15" s="646">
        <f>IF($C15="","",IF(AND($C15&gt;=1,$C15&lt;25),INDEX(ПодгОТ!$P$8:$P$31,C15),""))</f>
      </c>
      <c r="B15" s="638">
        <v>3</v>
      </c>
      <c r="C15" s="633">
        <v>16</v>
      </c>
      <c r="D15" s="627" t="str">
        <f>IF($C15="","",IF(AND($C15&gt;=1,$C15&lt;25),VLOOKUP($C15,ПодгОТ!$A$8:$AA$31,27),"Х"))</f>
        <v>ЕРМАКОВ</v>
      </c>
      <c r="E15" s="619" t="str">
        <f>IF(AND($C15&gt;=1,$C15&lt;25),VLOOKUP($C15,ПодгОТ!$A$8:$P$31,15),"")</f>
        <v>А.М.</v>
      </c>
      <c r="F15" s="619" t="str">
        <f>IF(AND($C15&gt;=1,$C15&lt;25),VLOOKUP($C15,ПодгОТ!$A$8:$P$31,6),"")</f>
        <v>Челябинск</v>
      </c>
      <c r="G15" s="71"/>
      <c r="H15" s="576"/>
      <c r="I15" s="576"/>
      <c r="J15" s="577"/>
      <c r="K15" s="573"/>
      <c r="L15" s="574"/>
      <c r="M15" s="574"/>
      <c r="N15" s="574"/>
      <c r="O15" s="72"/>
      <c r="P15" s="569"/>
      <c r="Q15" s="569"/>
      <c r="R15" s="569"/>
      <c r="S15" s="36"/>
      <c r="T15" s="569"/>
      <c r="U15" s="569"/>
      <c r="V15" s="569"/>
      <c r="W15" s="637"/>
      <c r="X15" s="16"/>
      <c r="AA15" s="419"/>
      <c r="AB15" s="419"/>
      <c r="AC15" s="419"/>
      <c r="AD15" s="419"/>
      <c r="AE15" s="419"/>
      <c r="AF15" s="419"/>
    </row>
    <row r="16" spans="1:32" s="13" customFormat="1" ht="12" customHeight="1">
      <c r="A16" s="647"/>
      <c r="B16" s="639"/>
      <c r="C16" s="634"/>
      <c r="D16" s="628"/>
      <c r="E16" s="620"/>
      <c r="F16" s="623"/>
      <c r="G16" s="572" t="str">
        <f>IF(G18=0,CONCATENATE("поб.",D15,"/",D17),IF(G18=1,D15,IF(G18=2,D17,"Х")))</f>
        <v>ЕРМАКОВ</v>
      </c>
      <c r="H16" s="572"/>
      <c r="I16" s="572"/>
      <c r="J16" s="648" t="str">
        <f>IF(G18=1,E15,IF(G18=2,E17,""))</f>
        <v>А.М.</v>
      </c>
      <c r="K16" s="149">
        <v>1</v>
      </c>
      <c r="L16" s="617" t="s">
        <v>198</v>
      </c>
      <c r="M16" s="579"/>
      <c r="N16" s="618"/>
      <c r="O16" s="161"/>
      <c r="P16" s="569"/>
      <c r="Q16" s="569"/>
      <c r="R16" s="569"/>
      <c r="S16" s="36"/>
      <c r="T16" s="569"/>
      <c r="U16" s="569"/>
      <c r="V16" s="569"/>
      <c r="W16" s="637"/>
      <c r="X16" s="16"/>
      <c r="AA16" s="419"/>
      <c r="AB16" s="419"/>
      <c r="AC16" s="419">
        <f>IF(OR(K16=0,K16=3),0,IF(K16=1,AA14,AA18))</f>
        <v>1</v>
      </c>
      <c r="AD16" s="419">
        <f>IF(OR(K16=0,K16=3),0,IF(K16=1,AA18,AA14))</f>
        <v>16</v>
      </c>
      <c r="AE16" s="419"/>
      <c r="AF16" s="419"/>
    </row>
    <row r="17" spans="1:32" s="13" customFormat="1" ht="12" customHeight="1">
      <c r="A17" s="646">
        <f>IF($C17="","",IF(AND($C17&gt;=1,$C17&lt;25),INDEX(ПодгОТ!$P$8:$P$31,C17),""))</f>
      </c>
      <c r="B17" s="638">
        <v>4</v>
      </c>
      <c r="C17" s="633" t="s">
        <v>156</v>
      </c>
      <c r="D17" s="627" t="str">
        <f>IF($C17="","",IF(AND($C17&gt;=1,$C17&lt;25),VLOOKUP($C17,ПодгОТ!$A$8:$AA$31,27),"Х"))</f>
        <v>Х</v>
      </c>
      <c r="E17" s="619">
        <f>IF(AND($C17&gt;=1,$C17&lt;25),VLOOKUP($C17,ПодгОТ!$A$8:$P$31,15),"")</f>
      </c>
      <c r="F17" s="621">
        <f>IF(AND($C17&gt;=1,$C17&lt;25),VLOOKUP($C17,ПодгОТ!$A$8:$P$31,6),"")</f>
      </c>
      <c r="G17" s="574"/>
      <c r="H17" s="574"/>
      <c r="I17" s="574"/>
      <c r="J17" s="649"/>
      <c r="K17" s="73"/>
      <c r="L17" s="576"/>
      <c r="M17" s="576"/>
      <c r="N17" s="577"/>
      <c r="O17" s="161"/>
      <c r="P17" s="569"/>
      <c r="Q17" s="569"/>
      <c r="R17" s="569"/>
      <c r="S17" s="36"/>
      <c r="T17" s="569"/>
      <c r="U17" s="569"/>
      <c r="V17" s="569"/>
      <c r="W17" s="637"/>
      <c r="X17" s="16"/>
      <c r="AA17" s="419"/>
      <c r="AB17" s="419"/>
      <c r="AC17" s="419"/>
      <c r="AD17" s="419"/>
      <c r="AE17" s="419"/>
      <c r="AF17" s="419"/>
    </row>
    <row r="18" spans="1:32" s="13" customFormat="1" ht="12" customHeight="1">
      <c r="A18" s="647"/>
      <c r="B18" s="639"/>
      <c r="C18" s="634"/>
      <c r="D18" s="628"/>
      <c r="E18" s="620"/>
      <c r="F18" s="622"/>
      <c r="G18" s="148">
        <v>1</v>
      </c>
      <c r="H18" s="579"/>
      <c r="I18" s="579"/>
      <c r="J18" s="579"/>
      <c r="K18" s="154"/>
      <c r="L18" s="575"/>
      <c r="M18" s="575"/>
      <c r="N18" s="578"/>
      <c r="O18" s="571" t="str">
        <f>IF(O20=0,CONCATENATE("поб.",K14,"/",K22),IF(O20=1,K14,IF(O20=2,K22,"Х")))</f>
        <v>ТИХОНОВ</v>
      </c>
      <c r="P18" s="572"/>
      <c r="Q18" s="572"/>
      <c r="R18" s="572" t="str">
        <f>IF(O20=1,N14,IF(O20=2,N22,""))</f>
        <v>И.А.</v>
      </c>
      <c r="S18" s="72"/>
      <c r="T18" s="569"/>
      <c r="U18" s="569"/>
      <c r="V18" s="569"/>
      <c r="W18" s="637"/>
      <c r="X18" s="16"/>
      <c r="AA18" s="419">
        <f>IF(OR(G18=3,G18=0),0,(IF(G18=1,C15,C17)))</f>
        <v>16</v>
      </c>
      <c r="AB18" s="419" t="str">
        <f>IF(OR(G18=3,G18=0),0,(IF(G18=1,C17,C15)))</f>
        <v>х</v>
      </c>
      <c r="AC18" s="419"/>
      <c r="AD18" s="419"/>
      <c r="AE18" s="419"/>
      <c r="AF18" s="419"/>
    </row>
    <row r="19" spans="1:32" s="13" customFormat="1" ht="12" customHeight="1">
      <c r="A19" s="646">
        <f>IF($C19="","",IF(AND($C19&gt;=1,$C19&lt;25),INDEX(ПодгОТ!$P$8:$P$31,C19),""))</f>
      </c>
      <c r="B19" s="638">
        <v>5</v>
      </c>
      <c r="C19" s="633">
        <v>18</v>
      </c>
      <c r="D19" s="627" t="str">
        <f>IF($C19="","",IF(AND($C19&gt;=1,$C19&lt;25),VLOOKUP($C19,ПодгОТ!$A$8:$AA$31,27),"Х"))</f>
        <v>ЮРКОВ</v>
      </c>
      <c r="E19" s="619" t="str">
        <f>IF(AND($C19&gt;=1,$C19&lt;25),VLOOKUP($C19,ПодгОТ!$A$8:$P$31,15),"")</f>
        <v>Д.И.</v>
      </c>
      <c r="F19" s="619" t="str">
        <f>IF(AND($C19&gt;=1,$C19&lt;25),VLOOKUP($C19,ПодгОТ!$A$8:$P$31,6),"")</f>
        <v>Челябинск</v>
      </c>
      <c r="G19" s="71"/>
      <c r="H19" s="576"/>
      <c r="I19" s="576"/>
      <c r="J19" s="576"/>
      <c r="K19" s="154"/>
      <c r="L19" s="575"/>
      <c r="M19" s="575"/>
      <c r="N19" s="578"/>
      <c r="O19" s="573"/>
      <c r="P19" s="574"/>
      <c r="Q19" s="574"/>
      <c r="R19" s="574"/>
      <c r="S19" s="72"/>
      <c r="T19" s="569"/>
      <c r="U19" s="569"/>
      <c r="V19" s="569"/>
      <c r="W19" s="569"/>
      <c r="X19" s="16"/>
      <c r="AA19" s="419"/>
      <c r="AB19" s="419"/>
      <c r="AC19" s="419"/>
      <c r="AD19" s="419"/>
      <c r="AE19" s="419"/>
      <c r="AF19" s="419"/>
    </row>
    <row r="20" spans="1:32" s="13" customFormat="1" ht="12" customHeight="1">
      <c r="A20" s="647"/>
      <c r="B20" s="639"/>
      <c r="C20" s="634"/>
      <c r="D20" s="628"/>
      <c r="E20" s="620"/>
      <c r="F20" s="623"/>
      <c r="G20" s="572" t="str">
        <f>IF(G22=0,CONCATENATE("поб.",D19,"/",D21),IF(G22=1,D19,IF(G22=2,D21,"Х")))</f>
        <v>ЮРКОВ</v>
      </c>
      <c r="H20" s="572"/>
      <c r="I20" s="572"/>
      <c r="J20" s="572" t="str">
        <f>IF(G22=1,E19,IF(G22=2,E21,""))</f>
        <v>Д.И.</v>
      </c>
      <c r="K20" s="72"/>
      <c r="L20" s="575"/>
      <c r="M20" s="575"/>
      <c r="N20" s="578"/>
      <c r="O20" s="150">
        <v>1</v>
      </c>
      <c r="P20" s="617" t="s">
        <v>200</v>
      </c>
      <c r="Q20" s="579"/>
      <c r="R20" s="618"/>
      <c r="S20" s="161"/>
      <c r="T20" s="569"/>
      <c r="U20" s="569"/>
      <c r="V20" s="569"/>
      <c r="W20" s="569"/>
      <c r="X20" s="16"/>
      <c r="AA20" s="419"/>
      <c r="AB20" s="419"/>
      <c r="AC20" s="419"/>
      <c r="AD20" s="419"/>
      <c r="AE20" s="419">
        <f>IF(OR(O20=0,O20=3),0,IF(O20=1,AC16,AC24))</f>
        <v>1</v>
      </c>
      <c r="AF20" s="419">
        <f>IF(OR(O20=0,O20=3),0,IF(O20=1,AC24,AC16))</f>
        <v>8</v>
      </c>
    </row>
    <row r="21" spans="1:32" s="13" customFormat="1" ht="12" customHeight="1">
      <c r="A21" s="646">
        <f>IF($C21="","",IF(AND($C21&gt;=1,$C21&lt;25),INDEX(ПодгОТ!$P$8:$P$31,C21),""))</f>
      </c>
      <c r="B21" s="638">
        <v>6</v>
      </c>
      <c r="C21" s="633" t="s">
        <v>156</v>
      </c>
      <c r="D21" s="627" t="str">
        <f>IF($C21="","",IF(AND($C21&gt;=1,$C21&lt;25),VLOOKUP($C21,ПодгОТ!$A$8:$AA$31,27),"Х"))</f>
        <v>Х</v>
      </c>
      <c r="E21" s="619">
        <f>IF(AND($C21&gt;=1,$C21&lt;25),VLOOKUP($C21,ПодгОТ!$A$8:$P$31,15),"")</f>
      </c>
      <c r="F21" s="621">
        <f>IF(AND($C21&gt;=1,$C21&lt;25),VLOOKUP($C21,ПодгОТ!$A$8:$P$31,6),"")</f>
      </c>
      <c r="G21" s="574"/>
      <c r="H21" s="574"/>
      <c r="I21" s="574"/>
      <c r="J21" s="574"/>
      <c r="K21" s="72"/>
      <c r="L21" s="575"/>
      <c r="M21" s="575"/>
      <c r="N21" s="578"/>
      <c r="O21" s="162"/>
      <c r="P21" s="576"/>
      <c r="Q21" s="576"/>
      <c r="R21" s="577"/>
      <c r="S21" s="161"/>
      <c r="T21" s="569"/>
      <c r="U21" s="569"/>
      <c r="V21" s="569"/>
      <c r="W21" s="569"/>
      <c r="X21" s="16"/>
      <c r="AA21" s="419"/>
      <c r="AB21" s="419"/>
      <c r="AC21" s="419"/>
      <c r="AD21" s="419"/>
      <c r="AE21" s="419"/>
      <c r="AF21" s="419"/>
    </row>
    <row r="22" spans="1:32" s="13" customFormat="1" ht="12" customHeight="1">
      <c r="A22" s="647"/>
      <c r="B22" s="639"/>
      <c r="C22" s="634"/>
      <c r="D22" s="628"/>
      <c r="E22" s="620"/>
      <c r="F22" s="622"/>
      <c r="G22" s="148">
        <v>1</v>
      </c>
      <c r="H22" s="579"/>
      <c r="I22" s="579"/>
      <c r="J22" s="618"/>
      <c r="K22" s="571" t="str">
        <f>IF(K24=0,CONCATENATE("поб.",G20,"/",G24),IF(K24=1,G20,IF(K24=2,G24,"Х")))</f>
        <v>АНТИПОВ</v>
      </c>
      <c r="L22" s="572"/>
      <c r="M22" s="572"/>
      <c r="N22" s="572" t="str">
        <f>IF(K24=1,J20,IF(K24=2,J24,""))</f>
        <v>И.П.</v>
      </c>
      <c r="O22" s="73"/>
      <c r="P22" s="575"/>
      <c r="Q22" s="575"/>
      <c r="R22" s="570"/>
      <c r="S22" s="76"/>
      <c r="T22" s="569"/>
      <c r="U22" s="569"/>
      <c r="V22" s="569"/>
      <c r="W22" s="569"/>
      <c r="X22" s="16"/>
      <c r="AA22" s="419">
        <f>IF(OR(G22=3,G22=0),0,(IF(G22=1,C19,C21)))</f>
        <v>18</v>
      </c>
      <c r="AB22" s="419" t="str">
        <f>IF(OR(G22=3,G22=0),0,(IF(G22=1,C21,C19)))</f>
        <v>х</v>
      </c>
      <c r="AC22" s="419"/>
      <c r="AD22" s="419"/>
      <c r="AE22" s="419"/>
      <c r="AF22" s="419"/>
    </row>
    <row r="23" spans="1:32" s="13" customFormat="1" ht="12" customHeight="1">
      <c r="A23" s="646">
        <f>IF($C23="","",IF(AND($C23&gt;=1,$C23&lt;25),INDEX(ПодгОТ!$P$8:$P$31,C23),""))</f>
      </c>
      <c r="B23" s="638">
        <v>7</v>
      </c>
      <c r="C23" s="631" t="s">
        <v>48</v>
      </c>
      <c r="D23" s="625" t="str">
        <f>IF($C23="","",IF(AND($C23&gt;=1,$C23&lt;25),VLOOKUP($C23,ПодгОТ!$A$8:$AA$31,27),"Х"))</f>
        <v>Х</v>
      </c>
      <c r="E23" s="624">
        <f>IF(AND($C23&gt;=1,$C23&lt;25),VLOOKUP($C23,ПодгОТ!$A$8:$P$31,15),"")</f>
      </c>
      <c r="F23" s="629">
        <f>IF(AND($C23&gt;=1,$C23&lt;25),VLOOKUP($C23,ПодгОТ!$A$8:$P$31,6),"")</f>
      </c>
      <c r="G23" s="71"/>
      <c r="H23" s="576"/>
      <c r="I23" s="576"/>
      <c r="J23" s="577"/>
      <c r="K23" s="573"/>
      <c r="L23" s="574"/>
      <c r="M23" s="574"/>
      <c r="N23" s="574"/>
      <c r="O23" s="73"/>
      <c r="P23" s="569"/>
      <c r="Q23" s="569"/>
      <c r="R23" s="570"/>
      <c r="S23" s="76"/>
      <c r="T23" s="569"/>
      <c r="U23" s="569"/>
      <c r="V23" s="569"/>
      <c r="W23" s="569"/>
      <c r="X23" s="16"/>
      <c r="AA23" s="419"/>
      <c r="AB23" s="419"/>
      <c r="AC23" s="419"/>
      <c r="AD23" s="419"/>
      <c r="AE23" s="419"/>
      <c r="AF23" s="419"/>
    </row>
    <row r="24" spans="1:32" s="13" customFormat="1" ht="12" customHeight="1">
      <c r="A24" s="647"/>
      <c r="B24" s="639"/>
      <c r="C24" s="632"/>
      <c r="D24" s="626"/>
      <c r="E24" s="620"/>
      <c r="F24" s="630"/>
      <c r="G24" s="572" t="str">
        <f>IF(G26=0,CONCATENATE("поб.",D23,"/",D25),IF(G26=1,D23,IF(G26=2,D25,"Х")))</f>
        <v>АНТИПОВ</v>
      </c>
      <c r="H24" s="572"/>
      <c r="I24" s="572"/>
      <c r="J24" s="572" t="str">
        <f>IF(G26=1,E23,IF(G26=2,E25,""))</f>
        <v>И.П.</v>
      </c>
      <c r="K24" s="149">
        <v>2</v>
      </c>
      <c r="L24" s="579" t="s">
        <v>198</v>
      </c>
      <c r="M24" s="579"/>
      <c r="N24" s="579"/>
      <c r="O24" s="154"/>
      <c r="P24" s="569"/>
      <c r="Q24" s="569"/>
      <c r="R24" s="570"/>
      <c r="S24" s="76"/>
      <c r="T24" s="569"/>
      <c r="U24" s="569"/>
      <c r="V24" s="569"/>
      <c r="W24" s="569"/>
      <c r="X24" s="16"/>
      <c r="AA24" s="419"/>
      <c r="AB24" s="419"/>
      <c r="AC24" s="419">
        <f>IF(OR(K24=0,K24=3),0,IF(K24=1,AA22,AA26))</f>
        <v>8</v>
      </c>
      <c r="AD24" s="419">
        <f>IF(OR(K24=0,K24=3),0,IF(K24=1,AA26,AA22))</f>
        <v>18</v>
      </c>
      <c r="AE24" s="419"/>
      <c r="AF24" s="419"/>
    </row>
    <row r="25" spans="1:32" s="13" customFormat="1" ht="12" customHeight="1">
      <c r="A25" s="646" t="str">
        <f>IF($C25="","5,6,7 или 8",IF(AND($C25&gt;=1,$C25&lt;25),INDEX(ПодгОТ!$P$8:$P$31,C25),""))</f>
        <v>8 </v>
      </c>
      <c r="B25" s="638">
        <v>8</v>
      </c>
      <c r="C25" s="635">
        <v>8</v>
      </c>
      <c r="D25" s="627" t="str">
        <f>IF($C25="","",IF(AND($C25&gt;=1,$C25&lt;25),VLOOKUP($C25,ПодгОТ!$A$8:$AA$31,27),"Х"))</f>
        <v>АНТИПОВ</v>
      </c>
      <c r="E25" s="619" t="str">
        <f>IF(AND($C25&gt;=1,$C25&lt;25),VLOOKUP($C25,ПодгОТ!$A$8:$P$31,15),"")</f>
        <v>И.П.</v>
      </c>
      <c r="F25" s="621" t="str">
        <f>IF(AND($C25&gt;=1,$C25&lt;25),VLOOKUP($C25,ПодгОТ!$A$8:$P$31,6),"")</f>
        <v>Камнск-Уральский</v>
      </c>
      <c r="G25" s="574"/>
      <c r="H25" s="574"/>
      <c r="I25" s="574"/>
      <c r="J25" s="574"/>
      <c r="K25" s="73"/>
      <c r="L25" s="576"/>
      <c r="M25" s="576"/>
      <c r="N25" s="576"/>
      <c r="O25" s="154"/>
      <c r="P25" s="569"/>
      <c r="Q25" s="569"/>
      <c r="R25" s="570"/>
      <c r="S25" s="76"/>
      <c r="T25" s="569"/>
      <c r="U25" s="569"/>
      <c r="V25" s="569"/>
      <c r="W25" s="569"/>
      <c r="X25" s="16"/>
      <c r="AA25" s="419"/>
      <c r="AB25" s="419"/>
      <c r="AC25" s="419"/>
      <c r="AD25" s="419"/>
      <c r="AE25" s="419"/>
      <c r="AF25" s="419"/>
    </row>
    <row r="26" spans="1:32" s="13" customFormat="1" ht="12" customHeight="1">
      <c r="A26" s="647"/>
      <c r="B26" s="639"/>
      <c r="C26" s="636"/>
      <c r="D26" s="628"/>
      <c r="E26" s="620"/>
      <c r="F26" s="622"/>
      <c r="G26" s="484">
        <v>2</v>
      </c>
      <c r="H26" s="580"/>
      <c r="I26" s="580"/>
      <c r="J26" s="580"/>
      <c r="K26" s="154"/>
      <c r="L26" s="575"/>
      <c r="M26" s="575"/>
      <c r="N26" s="575"/>
      <c r="O26" s="160"/>
      <c r="P26" s="569"/>
      <c r="Q26" s="569"/>
      <c r="R26" s="570"/>
      <c r="S26" s="571" t="str">
        <f>IF(S28=0,CONCATENATE("поб.",O18,"/",O34),IF(S28=1,O18,IF(S28=2,O34,"Х")))</f>
        <v>ТИХОНОВ</v>
      </c>
      <c r="T26" s="572"/>
      <c r="U26" s="572"/>
      <c r="V26" s="572"/>
      <c r="W26" s="572"/>
      <c r="X26" s="16"/>
      <c r="AA26" s="419">
        <f>IF(OR(G26=3,G26=0),0,(IF(G26=1,C23,C25)))</f>
        <v>8</v>
      </c>
      <c r="AB26" s="419" t="str">
        <f>IF(OR(G26=3,G26=0),0,(IF(G26=1,C25,C23)))</f>
        <v>Х</v>
      </c>
      <c r="AC26" s="419"/>
      <c r="AD26" s="419"/>
      <c r="AE26" s="419"/>
      <c r="AF26" s="419"/>
    </row>
    <row r="27" spans="1:32" s="13" customFormat="1" ht="12" customHeight="1">
      <c r="A27" s="646" t="str">
        <f>IF($C27="","3 или 4",IF(AND($C27&gt;=1,$C27&lt;25),INDEX(ПодгОТ!$P$8:$P$31,C27),""))</f>
        <v>3 </v>
      </c>
      <c r="B27" s="638">
        <v>9</v>
      </c>
      <c r="C27" s="635">
        <v>3</v>
      </c>
      <c r="D27" s="627" t="str">
        <f>IF($C27="","",IF(AND($C27&gt;=1,$C27&lt;25),VLOOKUP($C27,ПодгОТ!$A$8:$AA$31,27),"Х"))</f>
        <v>ЦВИКЛИЧ</v>
      </c>
      <c r="E27" s="619" t="str">
        <f>IF(AND($C27&gt;=1,$C27&lt;25),VLOOKUP($C27,ПодгОТ!$A$8:$P$31,15),"")</f>
        <v>Э.Т.</v>
      </c>
      <c r="F27" s="619" t="str">
        <f>IF(AND($C27&gt;=1,$C27&lt;25),VLOOKUP($C27,ПодгОТ!$A$8:$P$31,6),"")</f>
        <v>Екатеринбург</v>
      </c>
      <c r="G27" s="71"/>
      <c r="H27" s="576"/>
      <c r="I27" s="576"/>
      <c r="J27" s="576"/>
      <c r="K27" s="154"/>
      <c r="L27" s="575"/>
      <c r="M27" s="575"/>
      <c r="N27" s="575"/>
      <c r="O27" s="160"/>
      <c r="P27" s="569"/>
      <c r="Q27" s="569"/>
      <c r="R27" s="570"/>
      <c r="S27" s="573"/>
      <c r="T27" s="574"/>
      <c r="U27" s="574"/>
      <c r="V27" s="574"/>
      <c r="W27" s="574"/>
      <c r="X27" s="16"/>
      <c r="AA27" s="419"/>
      <c r="AB27" s="419"/>
      <c r="AC27" s="419"/>
      <c r="AD27" s="419"/>
      <c r="AE27" s="419"/>
      <c r="AF27" s="419"/>
    </row>
    <row r="28" spans="1:32" s="13" customFormat="1" ht="12" customHeight="1">
      <c r="A28" s="647"/>
      <c r="B28" s="639"/>
      <c r="C28" s="636"/>
      <c r="D28" s="628"/>
      <c r="E28" s="620"/>
      <c r="F28" s="623"/>
      <c r="G28" s="572" t="str">
        <f>IF(G30=0,CONCATENATE("поб.",D27,"/",D29),IF(G30=1,D27,IF(G30=2,D29,"Х")))</f>
        <v>ЦВИКЛИЧ</v>
      </c>
      <c r="H28" s="572"/>
      <c r="I28" s="572"/>
      <c r="J28" s="572" t="str">
        <f>IF(G30=1,E27,IF(G30=2,E29,""))</f>
        <v>Э.Т.</v>
      </c>
      <c r="K28" s="72"/>
      <c r="L28" s="575"/>
      <c r="M28" s="575"/>
      <c r="N28" s="575"/>
      <c r="O28" s="160"/>
      <c r="P28" s="569"/>
      <c r="Q28" s="569"/>
      <c r="R28" s="570"/>
      <c r="S28" s="149">
        <v>1</v>
      </c>
      <c r="T28" s="617" t="s">
        <v>205</v>
      </c>
      <c r="U28" s="579"/>
      <c r="V28" s="579"/>
      <c r="W28" s="618"/>
      <c r="X28" s="16"/>
      <c r="AA28" s="419"/>
      <c r="AB28" s="419"/>
      <c r="AC28" s="419"/>
      <c r="AD28" s="419"/>
      <c r="AE28" s="419"/>
      <c r="AF28" s="419"/>
    </row>
    <row r="29" spans="1:32" s="13" customFormat="1" ht="12" customHeight="1">
      <c r="A29" s="646">
        <f>IF($C29="","",IF(AND($C29&gt;=1,$C29&lt;25),INDEX(ПодгОТ!$P$8:$P$31,C29),""))</f>
      </c>
      <c r="B29" s="638">
        <v>10</v>
      </c>
      <c r="C29" s="631" t="s">
        <v>48</v>
      </c>
      <c r="D29" s="625" t="str">
        <f>IF($C29="","",IF(AND($C29&gt;=1,$C29&lt;25),VLOOKUP($C29,ПодгОТ!$A$8:$AA$31,27),"Х"))</f>
        <v>Х</v>
      </c>
      <c r="E29" s="624">
        <f>IF(AND($C29&gt;=1,$C29&lt;25),VLOOKUP($C29,ПодгОТ!$A$8:$P$31,15),"")</f>
      </c>
      <c r="F29" s="629">
        <f>IF(AND($C29&gt;=1,$C29&lt;25),VLOOKUP($C29,ПодгОТ!$A$8:$P$31,6),"")</f>
      </c>
      <c r="G29" s="574"/>
      <c r="H29" s="574"/>
      <c r="I29" s="574"/>
      <c r="J29" s="574"/>
      <c r="K29" s="72"/>
      <c r="L29" s="575"/>
      <c r="M29" s="575"/>
      <c r="N29" s="575"/>
      <c r="O29" s="160"/>
      <c r="P29" s="569"/>
      <c r="Q29" s="569"/>
      <c r="R29" s="570"/>
      <c r="S29" s="73"/>
      <c r="T29" s="576"/>
      <c r="U29" s="576"/>
      <c r="V29" s="576"/>
      <c r="W29" s="577"/>
      <c r="X29" s="16"/>
      <c r="AA29" s="419"/>
      <c r="AB29" s="419"/>
      <c r="AC29" s="419"/>
      <c r="AD29" s="419"/>
      <c r="AE29" s="419"/>
      <c r="AF29" s="419"/>
    </row>
    <row r="30" spans="1:32" s="13" customFormat="1" ht="12" customHeight="1">
      <c r="A30" s="647"/>
      <c r="B30" s="639"/>
      <c r="C30" s="632"/>
      <c r="D30" s="626"/>
      <c r="E30" s="620"/>
      <c r="F30" s="630"/>
      <c r="G30" s="484">
        <v>1</v>
      </c>
      <c r="H30" s="580"/>
      <c r="I30" s="580"/>
      <c r="J30" s="581"/>
      <c r="K30" s="571" t="str">
        <f>IF(K32=0,CONCATENATE("поб.",G28,"/",G32),IF(K32=1,G28,IF(K32=2,G32,"Х")))</f>
        <v>ЦВИКЛИЧ</v>
      </c>
      <c r="L30" s="572"/>
      <c r="M30" s="572"/>
      <c r="N30" s="572" t="str">
        <f>IF(K32=1,J28,IF(K32=2,J32,""))</f>
        <v>Э.Т.</v>
      </c>
      <c r="O30" s="72"/>
      <c r="P30" s="569"/>
      <c r="Q30" s="569"/>
      <c r="R30" s="570"/>
      <c r="S30" s="73"/>
      <c r="T30" s="569"/>
      <c r="U30" s="569"/>
      <c r="V30" s="569"/>
      <c r="W30" s="570"/>
      <c r="X30" s="16"/>
      <c r="AA30" s="419">
        <f>IF(OR(G30=3,G30=0),0,(IF(G30=1,C27,C29)))</f>
        <v>3</v>
      </c>
      <c r="AB30" s="419" t="str">
        <f>IF(OR(G30=3,G30=0),0,(IF(G30=1,C29,C27)))</f>
        <v>Х</v>
      </c>
      <c r="AC30" s="419"/>
      <c r="AD30" s="419"/>
      <c r="AE30" s="419"/>
      <c r="AF30" s="419"/>
    </row>
    <row r="31" spans="1:32" s="13" customFormat="1" ht="12" customHeight="1">
      <c r="A31" s="646">
        <f>IF($C31="","",IF(AND($C31&gt;=1,$C31&lt;25),INDEX(ПодгОТ!$P$8:$P$31,C31),""))</f>
      </c>
      <c r="B31" s="638">
        <v>11</v>
      </c>
      <c r="C31" s="633">
        <v>15</v>
      </c>
      <c r="D31" s="627" t="str">
        <f>IF($C31="","",IF(AND($C31&gt;=1,$C31&lt;25),VLOOKUP($C31,ПодгОТ!$A$8:$AA$31,27),"Х"))</f>
        <v>БОРОХОВ</v>
      </c>
      <c r="E31" s="619" t="str">
        <f>IF(AND($C31&gt;=1,$C31&lt;25),VLOOKUP($C31,ПодгОТ!$A$8:$P$31,15),"")</f>
        <v>С.О.</v>
      </c>
      <c r="F31" s="619" t="str">
        <f>IF(AND($C31&gt;=1,$C31&lt;25),VLOOKUP($C31,ПодгОТ!$A$8:$P$31,6),"")</f>
        <v>Челябинск</v>
      </c>
      <c r="G31" s="71"/>
      <c r="H31" s="576"/>
      <c r="I31" s="576"/>
      <c r="J31" s="577"/>
      <c r="K31" s="573"/>
      <c r="L31" s="574"/>
      <c r="M31" s="574"/>
      <c r="N31" s="574"/>
      <c r="O31" s="72"/>
      <c r="P31" s="569"/>
      <c r="Q31" s="569"/>
      <c r="R31" s="570"/>
      <c r="S31" s="73"/>
      <c r="T31" s="569"/>
      <c r="U31" s="569"/>
      <c r="V31" s="569"/>
      <c r="W31" s="570"/>
      <c r="X31" s="16"/>
      <c r="AA31" s="419"/>
      <c r="AB31" s="419"/>
      <c r="AC31" s="419"/>
      <c r="AD31" s="419"/>
      <c r="AE31" s="419"/>
      <c r="AF31" s="419"/>
    </row>
    <row r="32" spans="1:32" s="13" customFormat="1" ht="12" customHeight="1">
      <c r="A32" s="647"/>
      <c r="B32" s="639"/>
      <c r="C32" s="634"/>
      <c r="D32" s="628"/>
      <c r="E32" s="620"/>
      <c r="F32" s="623"/>
      <c r="G32" s="572" t="str">
        <f>IF(G34=0,CONCATENATE("поб.",D31,"/",D33),IF(G34=1,D31,IF(G34=2,D33,"Х")))</f>
        <v>БОРОХОВ</v>
      </c>
      <c r="H32" s="572"/>
      <c r="I32" s="572"/>
      <c r="J32" s="572" t="str">
        <f>IF(G34=1,E31,IF(G34=2,E33,""))</f>
        <v>С.О.</v>
      </c>
      <c r="K32" s="149">
        <v>1</v>
      </c>
      <c r="L32" s="579" t="s">
        <v>200</v>
      </c>
      <c r="M32" s="579"/>
      <c r="N32" s="618"/>
      <c r="O32" s="161"/>
      <c r="P32" s="569"/>
      <c r="Q32" s="569"/>
      <c r="R32" s="570"/>
      <c r="S32" s="73"/>
      <c r="T32" s="569"/>
      <c r="U32" s="569"/>
      <c r="V32" s="569"/>
      <c r="W32" s="570"/>
      <c r="X32" s="16"/>
      <c r="AA32" s="419"/>
      <c r="AB32" s="419"/>
      <c r="AC32" s="419">
        <f>IF(OR(K32=0,K32=3),0,IF(K32=1,AA30,AA34))</f>
        <v>3</v>
      </c>
      <c r="AD32" s="419">
        <f>IF(OR(K32=0,K32=3),0,IF(K32=1,AA34,AA30))</f>
        <v>15</v>
      </c>
      <c r="AE32" s="419"/>
      <c r="AF32" s="419"/>
    </row>
    <row r="33" spans="1:32" s="13" customFormat="1" ht="12" customHeight="1">
      <c r="A33" s="646">
        <f>IF($C33="","",IF(AND($C33&gt;=1,$C33&lt;25),INDEX(ПодгОТ!$P$8:$P$31,C33),""))</f>
      </c>
      <c r="B33" s="638">
        <v>12</v>
      </c>
      <c r="C33" s="633" t="s">
        <v>156</v>
      </c>
      <c r="D33" s="627" t="str">
        <f>IF($C33="","",IF(AND($C33&gt;=1,$C33&lt;25),VLOOKUP($C33,ПодгОТ!$A$8:$AA$31,27),"Х"))</f>
        <v>Х</v>
      </c>
      <c r="E33" s="619">
        <f>IF(AND($C33&gt;=1,$C33&lt;25),VLOOKUP($C33,ПодгОТ!$A$8:$P$31,15),"")</f>
      </c>
      <c r="F33" s="621">
        <f>IF(AND($C33&gt;=1,$C33&lt;25),VLOOKUP($C33,ПодгОТ!$A$8:$P$31,6),"")</f>
      </c>
      <c r="G33" s="574"/>
      <c r="H33" s="574"/>
      <c r="I33" s="574"/>
      <c r="J33" s="574"/>
      <c r="K33" s="73"/>
      <c r="L33" s="576"/>
      <c r="M33" s="576"/>
      <c r="N33" s="577"/>
      <c r="O33" s="161"/>
      <c r="P33" s="569"/>
      <c r="Q33" s="569"/>
      <c r="R33" s="570"/>
      <c r="S33" s="73"/>
      <c r="T33" s="569"/>
      <c r="U33" s="569"/>
      <c r="V33" s="569"/>
      <c r="W33" s="570"/>
      <c r="X33" s="16"/>
      <c r="AA33" s="419"/>
      <c r="AB33" s="419"/>
      <c r="AC33" s="419"/>
      <c r="AD33" s="419"/>
      <c r="AE33" s="419"/>
      <c r="AF33" s="419"/>
    </row>
    <row r="34" spans="1:32" s="13" customFormat="1" ht="12" customHeight="1">
      <c r="A34" s="647"/>
      <c r="B34" s="639"/>
      <c r="C34" s="634"/>
      <c r="D34" s="628"/>
      <c r="E34" s="620"/>
      <c r="F34" s="622"/>
      <c r="G34" s="148">
        <v>1</v>
      </c>
      <c r="H34" s="579"/>
      <c r="I34" s="579"/>
      <c r="J34" s="579"/>
      <c r="K34" s="154"/>
      <c r="L34" s="575"/>
      <c r="M34" s="575"/>
      <c r="N34" s="578"/>
      <c r="O34" s="571" t="str">
        <f>IF(O36=0,CONCATENATE("поб.",K30,"/",K38),IF(O36=1,K30,IF(O36=2,K38,"Х")))</f>
        <v>ЦВИКЛИЧ</v>
      </c>
      <c r="P34" s="572"/>
      <c r="Q34" s="572"/>
      <c r="R34" s="572" t="str">
        <f>IF(O36=1,N30,IF(O36=2,N38,""))</f>
        <v>Э.Т.</v>
      </c>
      <c r="S34" s="73"/>
      <c r="T34" s="569"/>
      <c r="U34" s="569"/>
      <c r="V34" s="569"/>
      <c r="W34" s="570"/>
      <c r="X34" s="16"/>
      <c r="AA34" s="419">
        <f>IF(OR(G34=3,G34=0),0,(IF(G34=1,C31,C33)))</f>
        <v>15</v>
      </c>
      <c r="AB34" s="419" t="str">
        <f>IF(OR(G34=3,G34=0),0,(IF(G34=1,C33,C31)))</f>
        <v>х</v>
      </c>
      <c r="AC34" s="419"/>
      <c r="AD34" s="419"/>
      <c r="AE34" s="419"/>
      <c r="AF34" s="419"/>
    </row>
    <row r="35" spans="1:32" s="13" customFormat="1" ht="12" customHeight="1">
      <c r="A35" s="646">
        <f>IF($C35="","",IF(AND($C35&gt;=1,$C35&lt;25),INDEX(ПодгОТ!$P$8:$P$31,C35),""))</f>
      </c>
      <c r="B35" s="638">
        <v>13</v>
      </c>
      <c r="C35" s="633">
        <v>10</v>
      </c>
      <c r="D35" s="627" t="str">
        <f>IF($C35="","",IF(AND($C35&gt;=1,$C35&lt;25),VLOOKUP($C35,ПодгОТ!$A$8:$AA$31,27),"Х"))</f>
        <v>НОВИКОВ</v>
      </c>
      <c r="E35" s="619" t="str">
        <f>IF(AND($C35&gt;=1,$C35&lt;25),VLOOKUP($C35,ПодгОТ!$A$8:$P$31,15),"")</f>
        <v>Н.А.</v>
      </c>
      <c r="F35" s="619" t="str">
        <f>IF(AND($C35&gt;=1,$C35&lt;25),VLOOKUP($C35,ПодгОТ!$A$8:$P$31,6),"")</f>
        <v>Челябинск</v>
      </c>
      <c r="G35" s="71"/>
      <c r="H35" s="576"/>
      <c r="I35" s="576"/>
      <c r="J35" s="576"/>
      <c r="K35" s="154"/>
      <c r="L35" s="575"/>
      <c r="M35" s="575"/>
      <c r="N35" s="578"/>
      <c r="O35" s="573"/>
      <c r="P35" s="574"/>
      <c r="Q35" s="574"/>
      <c r="R35" s="574"/>
      <c r="S35" s="73"/>
      <c r="T35" s="569"/>
      <c r="U35" s="569"/>
      <c r="V35" s="569"/>
      <c r="W35" s="570"/>
      <c r="X35" s="16"/>
      <c r="AA35" s="419"/>
      <c r="AB35" s="419"/>
      <c r="AC35" s="419"/>
      <c r="AD35" s="419"/>
      <c r="AE35" s="419"/>
      <c r="AF35" s="419"/>
    </row>
    <row r="36" spans="1:32" s="13" customFormat="1" ht="12" customHeight="1">
      <c r="A36" s="647"/>
      <c r="B36" s="639"/>
      <c r="C36" s="634"/>
      <c r="D36" s="628"/>
      <c r="E36" s="620"/>
      <c r="F36" s="623"/>
      <c r="G36" s="572" t="str">
        <f>IF(G38=0,CONCATENATE("поб.",D35,"/",D37),IF(G38=1,D35,IF(G38=2,D37,"Х")))</f>
        <v>НОВИКОВ</v>
      </c>
      <c r="H36" s="572"/>
      <c r="I36" s="572"/>
      <c r="J36" s="572" t="str">
        <f>IF(G38=1,E35,IF(G38=2,E37,""))</f>
        <v>Н.А.</v>
      </c>
      <c r="K36" s="72"/>
      <c r="L36" s="575"/>
      <c r="M36" s="575"/>
      <c r="N36" s="578"/>
      <c r="O36" s="150">
        <v>1</v>
      </c>
      <c r="P36" s="617" t="s">
        <v>203</v>
      </c>
      <c r="Q36" s="579"/>
      <c r="R36" s="579"/>
      <c r="S36" s="154"/>
      <c r="T36" s="569"/>
      <c r="U36" s="569"/>
      <c r="V36" s="569"/>
      <c r="W36" s="570"/>
      <c r="X36" s="16"/>
      <c r="AA36" s="419"/>
      <c r="AB36" s="419"/>
      <c r="AC36" s="419"/>
      <c r="AD36" s="419"/>
      <c r="AE36" s="419">
        <f>IF(OR(O36=0,O36=3),0,IF(O36=1,AC32,AC40))</f>
        <v>3</v>
      </c>
      <c r="AF36" s="419">
        <f>IF(OR(O36=0,O36=3),0,IF(O36=1,AC40,AC32))</f>
        <v>7</v>
      </c>
    </row>
    <row r="37" spans="1:32" s="13" customFormat="1" ht="12" customHeight="1">
      <c r="A37" s="646">
        <f>IF($C37="","",IF(AND($C37&gt;=1,$C37&lt;25),INDEX(ПодгОТ!$P$8:$P$31,C37),""))</f>
      </c>
      <c r="B37" s="638">
        <v>14</v>
      </c>
      <c r="C37" s="633" t="s">
        <v>156</v>
      </c>
      <c r="D37" s="627" t="str">
        <f>IF($C37="","",IF(AND($C37&gt;=1,$C37&lt;25),VLOOKUP($C37,ПодгОТ!$A$8:$AA$31,27),"Х"))</f>
        <v>Х</v>
      </c>
      <c r="E37" s="619">
        <f>IF(AND($C37&gt;=1,$C37&lt;25),VLOOKUP($C37,ПодгОТ!$A$8:$P$31,15),"")</f>
      </c>
      <c r="F37" s="621">
        <f>IF(AND($C37&gt;=1,$C37&lt;25),VLOOKUP($C37,ПодгОТ!$A$8:$P$31,6),"")</f>
      </c>
      <c r="G37" s="574"/>
      <c r="H37" s="574"/>
      <c r="I37" s="574"/>
      <c r="J37" s="574"/>
      <c r="K37" s="72"/>
      <c r="L37" s="575"/>
      <c r="M37" s="575"/>
      <c r="N37" s="578"/>
      <c r="O37" s="162"/>
      <c r="P37" s="576"/>
      <c r="Q37" s="576"/>
      <c r="R37" s="576"/>
      <c r="S37" s="154"/>
      <c r="T37" s="569"/>
      <c r="U37" s="569"/>
      <c r="V37" s="569"/>
      <c r="W37" s="570"/>
      <c r="X37" s="16"/>
      <c r="AA37" s="419"/>
      <c r="AB37" s="419"/>
      <c r="AC37" s="419"/>
      <c r="AD37" s="419"/>
      <c r="AE37" s="419"/>
      <c r="AF37" s="419"/>
    </row>
    <row r="38" spans="1:32" s="13" customFormat="1" ht="12" customHeight="1">
      <c r="A38" s="647"/>
      <c r="B38" s="639"/>
      <c r="C38" s="634"/>
      <c r="D38" s="628"/>
      <c r="E38" s="620"/>
      <c r="F38" s="622"/>
      <c r="G38" s="148">
        <v>1</v>
      </c>
      <c r="H38" s="579"/>
      <c r="I38" s="579"/>
      <c r="J38" s="618"/>
      <c r="K38" s="571" t="str">
        <f>IF(K40=0,CONCATENATE("поб.",G36,"/",G40),IF(K40=1,G36,IF(K40=2,G40,"Х")))</f>
        <v>СЕГУРА-ОНИЩЕНКО</v>
      </c>
      <c r="L38" s="572"/>
      <c r="M38" s="572"/>
      <c r="N38" s="572" t="str">
        <f>IF(K40=1,J36,IF(K40=2,J40,""))</f>
        <v>А.</v>
      </c>
      <c r="O38" s="73"/>
      <c r="P38" s="575"/>
      <c r="Q38" s="575"/>
      <c r="R38" s="569"/>
      <c r="S38" s="72"/>
      <c r="T38" s="569"/>
      <c r="U38" s="569"/>
      <c r="V38" s="569"/>
      <c r="W38" s="570"/>
      <c r="X38" s="16"/>
      <c r="AA38" s="419">
        <f>IF(OR(G38=3,G38=0),0,(IF(G38=1,C35,C37)))</f>
        <v>10</v>
      </c>
      <c r="AB38" s="419" t="str">
        <f>IF(OR(G38=3,G38=0),0,(IF(G38=1,C37,C35)))</f>
        <v>х</v>
      </c>
      <c r="AC38" s="419"/>
      <c r="AD38" s="419"/>
      <c r="AE38" s="419"/>
      <c r="AF38" s="419"/>
    </row>
    <row r="39" spans="1:32" s="13" customFormat="1" ht="12" customHeight="1">
      <c r="A39" s="646">
        <f>IF($C39="","",IF(AND($C39&gt;=1,$C39&lt;25),INDEX(ПодгОТ!$P$8:$P$31,C39),""))</f>
      </c>
      <c r="B39" s="638">
        <v>15</v>
      </c>
      <c r="C39" s="631" t="s">
        <v>48</v>
      </c>
      <c r="D39" s="625" t="str">
        <f>IF($C39="","",IF(AND($C39&gt;=1,$C39&lt;25),VLOOKUP($C39,ПодгОТ!$A$8:$AA$31,27),"Х"))</f>
        <v>Х</v>
      </c>
      <c r="E39" s="624">
        <f>IF(AND($C39&gt;=1,$C39&lt;25),VLOOKUP($C39,ПодгОТ!$A$8:$P$31,15),"")</f>
      </c>
      <c r="F39" s="629">
        <f>IF(AND($C39&gt;=1,$C39&lt;25),VLOOKUP($C39,ПодгОТ!$A$8:$P$31,6),"")</f>
      </c>
      <c r="G39" s="71"/>
      <c r="H39" s="576"/>
      <c r="I39" s="576"/>
      <c r="J39" s="577"/>
      <c r="K39" s="573"/>
      <c r="L39" s="574"/>
      <c r="M39" s="574"/>
      <c r="N39" s="574"/>
      <c r="O39" s="73"/>
      <c r="P39" s="569"/>
      <c r="Q39" s="569"/>
      <c r="R39" s="569"/>
      <c r="S39" s="72"/>
      <c r="T39" s="569"/>
      <c r="U39" s="569"/>
      <c r="V39" s="569"/>
      <c r="W39" s="570"/>
      <c r="X39" s="16"/>
      <c r="AA39" s="419"/>
      <c r="AB39" s="419"/>
      <c r="AC39" s="419"/>
      <c r="AD39" s="419"/>
      <c r="AE39" s="419"/>
      <c r="AF39" s="419"/>
    </row>
    <row r="40" spans="1:32" s="13" customFormat="1" ht="12" customHeight="1">
      <c r="A40" s="647"/>
      <c r="B40" s="639"/>
      <c r="C40" s="632"/>
      <c r="D40" s="626"/>
      <c r="E40" s="620"/>
      <c r="F40" s="630"/>
      <c r="G40" s="572" t="str">
        <f>IF(G42=0,CONCATENATE("поб.",D39,"/",D41),IF(G42=1,D39,IF(G42=2,D41,"Х")))</f>
        <v>СЕГУРА-ОНИЩЕНКО</v>
      </c>
      <c r="H40" s="572"/>
      <c r="I40" s="572"/>
      <c r="J40" s="572" t="str">
        <f>IF(G42=1,E39,IF(G42=2,E41,""))</f>
        <v>А.</v>
      </c>
      <c r="K40" s="149">
        <v>2</v>
      </c>
      <c r="L40" s="579" t="s">
        <v>201</v>
      </c>
      <c r="M40" s="579"/>
      <c r="N40" s="579"/>
      <c r="O40" s="154"/>
      <c r="P40" s="569"/>
      <c r="Q40" s="569"/>
      <c r="R40" s="569"/>
      <c r="S40" s="72"/>
      <c r="T40" s="569"/>
      <c r="U40" s="569"/>
      <c r="V40" s="569"/>
      <c r="W40" s="570"/>
      <c r="X40" s="16"/>
      <c r="AA40" s="419"/>
      <c r="AB40" s="419"/>
      <c r="AC40" s="419">
        <f>IF(OR(K40=0,K40=3),0,IF(K40=1,AA38,AA42))</f>
        <v>7</v>
      </c>
      <c r="AD40" s="419">
        <f>IF(OR(K40=0,K40=3),0,IF(K40=1,AA42,AA38))</f>
        <v>10</v>
      </c>
      <c r="AE40" s="419"/>
      <c r="AF40" s="419"/>
    </row>
    <row r="41" spans="1:32" s="13" customFormat="1" ht="12" customHeight="1">
      <c r="A41" s="646" t="str">
        <f>IF($C41="","5,6,7 или 8",IF(AND($C41&gt;=1,$C41&lt;25),INDEX(ПодгОТ!$P$8:$P$31,C41),""))</f>
        <v>7 </v>
      </c>
      <c r="B41" s="638">
        <v>16</v>
      </c>
      <c r="C41" s="635">
        <v>7</v>
      </c>
      <c r="D41" s="627" t="str">
        <f>IF($C41="","",IF(AND($C41&gt;=1,$C41&lt;25),VLOOKUP($C41,ПодгОТ!$A$8:$AA$31,27),"Х"))</f>
        <v>СЕГУРА-ОНИЩЕНКО</v>
      </c>
      <c r="E41" s="619" t="str">
        <f>IF(AND($C41&gt;=1,$C41&lt;25),VLOOKUP($C41,ПодгОТ!$A$8:$P$31,15),"")</f>
        <v>А.</v>
      </c>
      <c r="F41" s="621" t="str">
        <f>IF(AND($C41&gt;=1,$C41&lt;25),VLOOKUP($C41,ПодгОТ!$A$8:$P$31,6),"")</f>
        <v>Пермь</v>
      </c>
      <c r="G41" s="574"/>
      <c r="H41" s="574"/>
      <c r="I41" s="574"/>
      <c r="J41" s="574"/>
      <c r="K41" s="73"/>
      <c r="L41" s="576"/>
      <c r="M41" s="576"/>
      <c r="N41" s="576"/>
      <c r="O41" s="154"/>
      <c r="P41" s="569"/>
      <c r="Q41" s="569"/>
      <c r="R41" s="569"/>
      <c r="S41" s="72"/>
      <c r="T41" s="569"/>
      <c r="U41" s="569"/>
      <c r="V41" s="569"/>
      <c r="W41" s="570"/>
      <c r="X41" s="16"/>
      <c r="AA41" s="419"/>
      <c r="AB41" s="419"/>
      <c r="AC41" s="419"/>
      <c r="AD41" s="419"/>
      <c r="AE41" s="419"/>
      <c r="AF41" s="419"/>
    </row>
    <row r="42" spans="1:32" s="13" customFormat="1" ht="12" customHeight="1">
      <c r="A42" s="647"/>
      <c r="B42" s="639"/>
      <c r="C42" s="636"/>
      <c r="D42" s="628"/>
      <c r="E42" s="620"/>
      <c r="F42" s="622"/>
      <c r="G42" s="484">
        <v>2</v>
      </c>
      <c r="H42" s="580"/>
      <c r="I42" s="580"/>
      <c r="J42" s="580"/>
      <c r="K42" s="154"/>
      <c r="L42" s="575"/>
      <c r="M42" s="575"/>
      <c r="N42" s="575"/>
      <c r="O42" s="160"/>
      <c r="P42" s="569"/>
      <c r="Q42" s="569"/>
      <c r="R42" s="569"/>
      <c r="S42" s="72"/>
      <c r="T42" s="569"/>
      <c r="U42" s="569"/>
      <c r="V42" s="569"/>
      <c r="W42" s="570"/>
      <c r="X42" s="9"/>
      <c r="AA42" s="419">
        <f>IF(OR(G42=3,G42=0),0,(IF(G42=1,C39,C41)))</f>
        <v>7</v>
      </c>
      <c r="AB42" s="419" t="str">
        <f>IF(OR(G42=3,G42=0),0,(IF(G42=1,C41,C39)))</f>
        <v>Х</v>
      </c>
      <c r="AC42" s="419"/>
      <c r="AD42" s="419"/>
      <c r="AE42" s="419"/>
      <c r="AF42" s="419"/>
    </row>
    <row r="43" spans="1:32" s="13" customFormat="1" ht="12" customHeight="1">
      <c r="A43" s="646" t="str">
        <f>IF($C43="","5,6,7 или 8",IF(AND($C43&gt;=1,$C43&lt;25),INDEX(ПодгОТ!$P$8:$P$31,C43),""))</f>
        <v>6 </v>
      </c>
      <c r="B43" s="638">
        <v>17</v>
      </c>
      <c r="C43" s="635">
        <v>6</v>
      </c>
      <c r="D43" s="627" t="str">
        <f>IF($C43="","",IF(AND($C43&gt;=1,$C43&lt;25),VLOOKUP($C43,ПодгОТ!$A$8:$AA$31,27),"Х"))</f>
        <v>ФАДЕЕВ</v>
      </c>
      <c r="E43" s="619" t="str">
        <f>IF(AND($C43&gt;=1,$C43&lt;25),VLOOKUP($C43,ПодгОТ!$A$8:$P$31,15),"")</f>
        <v>П.Е.</v>
      </c>
      <c r="F43" s="619" t="str">
        <f>IF(AND($C43&gt;=1,$C43&lt;25),VLOOKUP($C43,ПодгОТ!$A$8:$P$31,6),"")</f>
        <v>Пермь</v>
      </c>
      <c r="G43" s="71"/>
      <c r="H43" s="576"/>
      <c r="I43" s="576"/>
      <c r="J43" s="576"/>
      <c r="K43" s="154"/>
      <c r="L43" s="575"/>
      <c r="M43" s="575"/>
      <c r="N43" s="575"/>
      <c r="O43" s="160"/>
      <c r="P43" s="569"/>
      <c r="Q43" s="569"/>
      <c r="R43" s="569"/>
      <c r="S43" s="72"/>
      <c r="T43" s="572" t="str">
        <f>IF(W45=0,CONCATENATE("поб.",S26,"/",S58),IF(W45=1,S26,IF(W45=2,S58,"Х")))</f>
        <v>ГОРОДИЛОВ</v>
      </c>
      <c r="U43" s="572"/>
      <c r="V43" s="572"/>
      <c r="W43" s="648"/>
      <c r="X43" s="17"/>
      <c r="AA43" s="419"/>
      <c r="AB43" s="419"/>
      <c r="AC43" s="419"/>
      <c r="AD43" s="419"/>
      <c r="AE43" s="419"/>
      <c r="AF43" s="419"/>
    </row>
    <row r="44" spans="1:32" s="13" customFormat="1" ht="12" customHeight="1">
      <c r="A44" s="647"/>
      <c r="B44" s="639"/>
      <c r="C44" s="636"/>
      <c r="D44" s="628"/>
      <c r="E44" s="620"/>
      <c r="F44" s="623"/>
      <c r="G44" s="572" t="str">
        <f>IF(G46=0,CONCATENATE("поб.",D43,"/",D45),IF(G46=1,D43,IF(G46=2,D45,"Х")))</f>
        <v>ФАДЕЕВ</v>
      </c>
      <c r="H44" s="572"/>
      <c r="I44" s="572"/>
      <c r="J44" s="572" t="str">
        <f>IF(G46=1,E43,IF(G46=2,E45,""))</f>
        <v>П.Е.</v>
      </c>
      <c r="K44" s="72"/>
      <c r="L44" s="575"/>
      <c r="M44" s="575"/>
      <c r="N44" s="575"/>
      <c r="O44" s="160"/>
      <c r="P44" s="569"/>
      <c r="Q44" s="569"/>
      <c r="R44" s="569"/>
      <c r="S44" s="72"/>
      <c r="T44" s="574"/>
      <c r="U44" s="574"/>
      <c r="V44" s="574"/>
      <c r="W44" s="649"/>
      <c r="X44" s="17"/>
      <c r="AA44" s="419"/>
      <c r="AB44" s="419"/>
      <c r="AC44" s="419"/>
      <c r="AD44" s="419"/>
      <c r="AE44" s="419"/>
      <c r="AF44" s="419"/>
    </row>
    <row r="45" spans="1:32" s="13" customFormat="1" ht="12" customHeight="1">
      <c r="A45" s="646">
        <f>IF($C45="","",IF(AND($C45&gt;=1,$C45&lt;25),INDEX(ПодгОТ!$P$8:$P$31,C45),""))</f>
      </c>
      <c r="B45" s="638">
        <v>18</v>
      </c>
      <c r="C45" s="631" t="s">
        <v>48</v>
      </c>
      <c r="D45" s="625" t="str">
        <f>IF($C45="","",IF(AND($C45&gt;=1,$C45&lt;25),VLOOKUP($C45,ПодгОТ!$A$8:$AA$31,27),"Х"))</f>
        <v>Х</v>
      </c>
      <c r="E45" s="624">
        <f>IF(AND($C45&gt;=1,$C45&lt;25),VLOOKUP($C45,ПодгОТ!$A$8:$P$31,15),"")</f>
      </c>
      <c r="F45" s="629">
        <f>IF(AND($C45&gt;=1,$C45&lt;25),VLOOKUP($C45,ПодгОТ!$A$8:$P$31,6),"")</f>
      </c>
      <c r="G45" s="574"/>
      <c r="H45" s="574"/>
      <c r="I45" s="574"/>
      <c r="J45" s="574"/>
      <c r="K45" s="72"/>
      <c r="L45" s="575"/>
      <c r="M45" s="575"/>
      <c r="N45" s="575"/>
      <c r="O45" s="160"/>
      <c r="P45" s="569"/>
      <c r="Q45" s="569"/>
      <c r="R45" s="569"/>
      <c r="S45" s="72"/>
      <c r="T45" s="617" t="s">
        <v>204</v>
      </c>
      <c r="U45" s="579"/>
      <c r="V45" s="579"/>
      <c r="W45" s="151">
        <v>2</v>
      </c>
      <c r="X45" s="17"/>
      <c r="AA45" s="419"/>
      <c r="AB45" s="419"/>
      <c r="AC45" s="419"/>
      <c r="AD45" s="419"/>
      <c r="AE45" s="419"/>
      <c r="AF45" s="419"/>
    </row>
    <row r="46" spans="1:32" s="13" customFormat="1" ht="12" customHeight="1">
      <c r="A46" s="647"/>
      <c r="B46" s="639"/>
      <c r="C46" s="632"/>
      <c r="D46" s="626"/>
      <c r="E46" s="620"/>
      <c r="F46" s="630"/>
      <c r="G46" s="484">
        <v>1</v>
      </c>
      <c r="H46" s="580"/>
      <c r="I46" s="580"/>
      <c r="J46" s="581"/>
      <c r="K46" s="571" t="str">
        <f>IF(K48=0,CONCATENATE("поб.",G44,"/",G48),IF(K48=1,G44,IF(K48=2,G48,"Х")))</f>
        <v>ФАДЕЕВ</v>
      </c>
      <c r="L46" s="572"/>
      <c r="M46" s="572"/>
      <c r="N46" s="572" t="str">
        <f>IF(K48=1,J44,IF(K48=2,J48,""))</f>
        <v>П.Е.</v>
      </c>
      <c r="O46" s="72"/>
      <c r="P46" s="569"/>
      <c r="Q46" s="569"/>
      <c r="R46" s="569"/>
      <c r="S46" s="72"/>
      <c r="T46" s="576"/>
      <c r="U46" s="576"/>
      <c r="V46" s="576"/>
      <c r="W46" s="577"/>
      <c r="X46" s="9"/>
      <c r="AA46" s="419">
        <f>IF(OR(G46=3,G46=0),0,(IF(G46=1,C43,C45)))</f>
        <v>6</v>
      </c>
      <c r="AB46" s="419" t="str">
        <f>IF(OR(G46=3,G46=0),0,(IF(G46=1,C45,C43)))</f>
        <v>Х</v>
      </c>
      <c r="AC46" s="419"/>
      <c r="AD46" s="419"/>
      <c r="AE46" s="419"/>
      <c r="AF46" s="419"/>
    </row>
    <row r="47" spans="1:32" s="13" customFormat="1" ht="12" customHeight="1">
      <c r="A47" s="646">
        <f>IF($C47="","",IF(AND($C47&gt;=1,$C47&lt;25),INDEX(ПодгОТ!$P$8:$P$31,C47),""))</f>
      </c>
      <c r="B47" s="638">
        <v>19</v>
      </c>
      <c r="C47" s="633">
        <v>14</v>
      </c>
      <c r="D47" s="627" t="str">
        <f>IF($C47="","",IF(AND($C47&gt;=1,$C47&lt;25),VLOOKUP($C47,ПодгОТ!$A$8:$AA$31,27),"Х"))</f>
        <v>ХЛОПУНОВ</v>
      </c>
      <c r="E47" s="619" t="str">
        <f>IF(AND($C47&gt;=1,$C47&lt;25),VLOOKUP($C47,ПодгОТ!$A$8:$P$31,15),"")</f>
        <v>В.А.</v>
      </c>
      <c r="F47" s="619" t="str">
        <f>IF(AND($C47&gt;=1,$C47&lt;25),VLOOKUP($C47,ПодгОТ!$A$8:$P$31,6),"")</f>
        <v>Челябинск</v>
      </c>
      <c r="G47" s="71"/>
      <c r="H47" s="576"/>
      <c r="I47" s="576"/>
      <c r="J47" s="577"/>
      <c r="K47" s="573"/>
      <c r="L47" s="574"/>
      <c r="M47" s="574"/>
      <c r="N47" s="574"/>
      <c r="O47" s="72"/>
      <c r="P47" s="569"/>
      <c r="Q47" s="569"/>
      <c r="R47" s="569"/>
      <c r="S47" s="72"/>
      <c r="T47" s="569"/>
      <c r="U47" s="569"/>
      <c r="V47" s="569"/>
      <c r="W47" s="570"/>
      <c r="X47" s="16"/>
      <c r="AA47" s="419"/>
      <c r="AB47" s="419"/>
      <c r="AC47" s="419"/>
      <c r="AD47" s="419"/>
      <c r="AE47" s="419"/>
      <c r="AF47" s="419"/>
    </row>
    <row r="48" spans="1:32" s="13" customFormat="1" ht="12" customHeight="1">
      <c r="A48" s="647"/>
      <c r="B48" s="639"/>
      <c r="C48" s="634"/>
      <c r="D48" s="628"/>
      <c r="E48" s="620"/>
      <c r="F48" s="623"/>
      <c r="G48" s="572" t="str">
        <f>IF(G50=0,CONCATENATE("поб.",D47,"/",D49),IF(G50=1,D47,IF(G50=2,D49,"Х")))</f>
        <v>ХЛОПУНОВ</v>
      </c>
      <c r="H48" s="572"/>
      <c r="I48" s="572"/>
      <c r="J48" s="572" t="str">
        <f>IF(G50=1,E47,IF(G50=2,E49,""))</f>
        <v>В.А.</v>
      </c>
      <c r="K48" s="149">
        <v>1</v>
      </c>
      <c r="L48" s="617" t="s">
        <v>198</v>
      </c>
      <c r="M48" s="579"/>
      <c r="N48" s="618"/>
      <c r="O48" s="161"/>
      <c r="P48" s="569"/>
      <c r="Q48" s="569"/>
      <c r="R48" s="569"/>
      <c r="S48" s="72"/>
      <c r="T48" s="569"/>
      <c r="U48" s="569"/>
      <c r="V48" s="569"/>
      <c r="W48" s="570"/>
      <c r="X48" s="16"/>
      <c r="AA48" s="419"/>
      <c r="AB48" s="419"/>
      <c r="AC48" s="419">
        <f>IF(OR(K48=0,K48=3),0,IF(K48=1,AA46,AA50))</f>
        <v>6</v>
      </c>
      <c r="AD48" s="419">
        <f>IF(OR(K48=0,K48=3),0,IF(K48=1,AA50,AA46))</f>
        <v>14</v>
      </c>
      <c r="AE48" s="419"/>
      <c r="AF48" s="419"/>
    </row>
    <row r="49" spans="1:32" s="13" customFormat="1" ht="12" customHeight="1">
      <c r="A49" s="646">
        <f>IF($C49="","",IF(AND($C49&gt;=1,$C49&lt;25),INDEX(ПодгОТ!$P$8:$P$31,C49),""))</f>
      </c>
      <c r="B49" s="638">
        <v>20</v>
      </c>
      <c r="C49" s="633" t="s">
        <v>156</v>
      </c>
      <c r="D49" s="627" t="str">
        <f>IF($C49="","",IF(AND($C49&gt;=1,$C49&lt;25),VLOOKUP($C49,ПодгОТ!$A$8:$AA$31,27),"Х"))</f>
        <v>Х</v>
      </c>
      <c r="E49" s="619">
        <f>IF(AND($C49&gt;=1,$C49&lt;25),VLOOKUP($C49,ПодгОТ!$A$8:$P$31,15),"")</f>
      </c>
      <c r="F49" s="621">
        <f>IF(AND($C49&gt;=1,$C49&lt;25),VLOOKUP($C49,ПодгОТ!$A$8:$P$31,6),"")</f>
      </c>
      <c r="G49" s="574"/>
      <c r="H49" s="574"/>
      <c r="I49" s="574"/>
      <c r="J49" s="574"/>
      <c r="K49" s="73"/>
      <c r="L49" s="576"/>
      <c r="M49" s="576"/>
      <c r="N49" s="577"/>
      <c r="O49" s="161"/>
      <c r="P49" s="569"/>
      <c r="Q49" s="569"/>
      <c r="R49" s="569"/>
      <c r="S49" s="72"/>
      <c r="T49" s="569"/>
      <c r="U49" s="569"/>
      <c r="V49" s="569"/>
      <c r="W49" s="570"/>
      <c r="X49" s="16"/>
      <c r="AA49" s="419"/>
      <c r="AB49" s="419"/>
      <c r="AC49" s="419"/>
      <c r="AD49" s="419"/>
      <c r="AE49" s="419"/>
      <c r="AF49" s="419"/>
    </row>
    <row r="50" spans="1:32" s="13" customFormat="1" ht="12" customHeight="1">
      <c r="A50" s="647"/>
      <c r="B50" s="639"/>
      <c r="C50" s="634"/>
      <c r="D50" s="628"/>
      <c r="E50" s="620"/>
      <c r="F50" s="622"/>
      <c r="G50" s="148">
        <v>1</v>
      </c>
      <c r="H50" s="579"/>
      <c r="I50" s="579"/>
      <c r="J50" s="579"/>
      <c r="K50" s="154"/>
      <c r="L50" s="575"/>
      <c r="M50" s="575"/>
      <c r="N50" s="578"/>
      <c r="O50" s="571" t="str">
        <f>IF(O52=0,CONCATENATE("поб.",K46,"/",K54),IF(O52=1,K46,IF(O52=2,K54,"Х")))</f>
        <v>ГОРОДИЛОВ</v>
      </c>
      <c r="P50" s="572"/>
      <c r="Q50" s="572"/>
      <c r="R50" s="572" t="str">
        <f>IF(O52=1,N46,IF(O52=2,N54,""))</f>
        <v>М.В.</v>
      </c>
      <c r="S50" s="72"/>
      <c r="T50" s="569"/>
      <c r="U50" s="569"/>
      <c r="V50" s="569"/>
      <c r="W50" s="570"/>
      <c r="X50" s="16"/>
      <c r="AA50" s="419">
        <f>IF(OR(G50=3,G50=0),0,(IF(G50=1,C47,C49)))</f>
        <v>14</v>
      </c>
      <c r="AB50" s="419" t="str">
        <f>IF(OR(G50=3,G50=0),0,(IF(G50=1,C49,C47)))</f>
        <v>х</v>
      </c>
      <c r="AC50" s="419"/>
      <c r="AD50" s="419"/>
      <c r="AE50" s="419"/>
      <c r="AF50" s="419"/>
    </row>
    <row r="51" spans="1:32" s="13" customFormat="1" ht="12" customHeight="1">
      <c r="A51" s="646">
        <f>IF($C51="","",IF(AND($C51&gt;=1,$C51&lt;25),INDEX(ПодгОТ!$P$8:$P$31,C51),""))</f>
      </c>
      <c r="B51" s="638">
        <v>21</v>
      </c>
      <c r="C51" s="633">
        <v>11</v>
      </c>
      <c r="D51" s="627" t="str">
        <f>IF($C51="","",IF(AND($C51&gt;=1,$C51&lt;25),VLOOKUP($C51,ПодгОТ!$A$8:$AA$31,27),"Х"))</f>
        <v>ЮЛИК</v>
      </c>
      <c r="E51" s="619" t="str">
        <f>IF(AND($C51&gt;=1,$C51&lt;25),VLOOKUP($C51,ПодгОТ!$A$8:$P$31,15),"")</f>
        <v>В.М.</v>
      </c>
      <c r="F51" s="619" t="str">
        <f>IF(AND($C51&gt;=1,$C51&lt;25),VLOOKUP($C51,ПодгОТ!$A$8:$P$31,6),"")</f>
        <v>Челябинск</v>
      </c>
      <c r="G51" s="71"/>
      <c r="H51" s="576"/>
      <c r="I51" s="576"/>
      <c r="J51" s="576"/>
      <c r="K51" s="154"/>
      <c r="L51" s="575"/>
      <c r="M51" s="575"/>
      <c r="N51" s="578"/>
      <c r="O51" s="573"/>
      <c r="P51" s="574"/>
      <c r="Q51" s="574"/>
      <c r="R51" s="574"/>
      <c r="S51" s="72"/>
      <c r="T51" s="569"/>
      <c r="U51" s="569"/>
      <c r="V51" s="569"/>
      <c r="W51" s="570"/>
      <c r="X51" s="16"/>
      <c r="AA51" s="419"/>
      <c r="AB51" s="419"/>
      <c r="AC51" s="419"/>
      <c r="AD51" s="419"/>
      <c r="AE51" s="419"/>
      <c r="AF51" s="419"/>
    </row>
    <row r="52" spans="1:32" s="13" customFormat="1" ht="12" customHeight="1">
      <c r="A52" s="647"/>
      <c r="B52" s="639"/>
      <c r="C52" s="634"/>
      <c r="D52" s="628"/>
      <c r="E52" s="620"/>
      <c r="F52" s="623"/>
      <c r="G52" s="572" t="str">
        <f>IF(G54=0,CONCATENATE("поб.",D51,"/",D53),IF(G54=1,D51,IF(G54=2,D53,"Х")))</f>
        <v>СМИРНОВ</v>
      </c>
      <c r="H52" s="572"/>
      <c r="I52" s="572"/>
      <c r="J52" s="572" t="str">
        <f>IF(G54=1,E51,IF(G54=2,E53,""))</f>
        <v>Д.В.</v>
      </c>
      <c r="K52" s="72"/>
      <c r="L52" s="575"/>
      <c r="M52" s="575"/>
      <c r="N52" s="578"/>
      <c r="O52" s="150">
        <v>2</v>
      </c>
      <c r="P52" s="617" t="s">
        <v>198</v>
      </c>
      <c r="Q52" s="579"/>
      <c r="R52" s="618"/>
      <c r="S52" s="161"/>
      <c r="T52" s="569"/>
      <c r="U52" s="569"/>
      <c r="V52" s="569"/>
      <c r="W52" s="570"/>
      <c r="X52" s="16"/>
      <c r="AA52" s="419"/>
      <c r="AB52" s="419"/>
      <c r="AC52" s="419"/>
      <c r="AD52" s="419"/>
      <c r="AE52" s="419">
        <f>IF(OR(O52=0,O52=3),0,IF(O52=1,AC48,AC56))</f>
        <v>4</v>
      </c>
      <c r="AF52" s="419">
        <f>IF(OR(O52=0,O52=3),0,IF(O52=1,AC56,AC48))</f>
        <v>6</v>
      </c>
    </row>
    <row r="53" spans="1:32" s="13" customFormat="1" ht="12" customHeight="1">
      <c r="A53" s="646">
        <f>IF($C53="","",IF(AND($C53&gt;=1,$C53&lt;25),INDEX(ПодгОТ!$P$8:$P$31,C53),""))</f>
      </c>
      <c r="B53" s="638">
        <v>22</v>
      </c>
      <c r="C53" s="633">
        <v>12</v>
      </c>
      <c r="D53" s="627" t="str">
        <f>IF($C53="","",IF(AND($C53&gt;=1,$C53&lt;25),VLOOKUP($C53,ПодгОТ!$A$8:$AA$31,27),"Х"))</f>
        <v>СМИРНОВ</v>
      </c>
      <c r="E53" s="619" t="str">
        <f>IF(AND($C53&gt;=1,$C53&lt;25),VLOOKUP($C53,ПодгОТ!$A$8:$P$31,15),"")</f>
        <v>Д.В.</v>
      </c>
      <c r="F53" s="621" t="str">
        <f>IF(AND($C53&gt;=1,$C53&lt;25),VLOOKUP($C53,ПодгОТ!$A$8:$P$31,6),"")</f>
        <v>Тюмень</v>
      </c>
      <c r="G53" s="574"/>
      <c r="H53" s="574"/>
      <c r="I53" s="574"/>
      <c r="J53" s="574"/>
      <c r="K53" s="72"/>
      <c r="L53" s="575"/>
      <c r="M53" s="575"/>
      <c r="N53" s="578"/>
      <c r="O53" s="162"/>
      <c r="P53" s="576"/>
      <c r="Q53" s="576"/>
      <c r="R53" s="577"/>
      <c r="S53" s="161"/>
      <c r="T53" s="569"/>
      <c r="U53" s="569"/>
      <c r="V53" s="569"/>
      <c r="W53" s="570"/>
      <c r="X53" s="16"/>
      <c r="AA53" s="419"/>
      <c r="AB53" s="419"/>
      <c r="AC53" s="419"/>
      <c r="AD53" s="419"/>
      <c r="AE53" s="419"/>
      <c r="AF53" s="419"/>
    </row>
    <row r="54" spans="1:32" s="13" customFormat="1" ht="12" customHeight="1">
      <c r="A54" s="647"/>
      <c r="B54" s="639"/>
      <c r="C54" s="634"/>
      <c r="D54" s="628"/>
      <c r="E54" s="620"/>
      <c r="F54" s="622"/>
      <c r="G54" s="148">
        <v>2</v>
      </c>
      <c r="H54" s="579" t="s">
        <v>198</v>
      </c>
      <c r="I54" s="579"/>
      <c r="J54" s="618"/>
      <c r="K54" s="571" t="str">
        <f>IF(K56=0,CONCATENATE("поб.",G52,"/",G56),IF(K56=1,G52,IF(K56=2,G56,"Х")))</f>
        <v>ГОРОДИЛОВ</v>
      </c>
      <c r="L54" s="572"/>
      <c r="M54" s="572"/>
      <c r="N54" s="572" t="str">
        <f>IF(K56=1,J52,IF(K56=2,J56,""))</f>
        <v>М.В.</v>
      </c>
      <c r="O54" s="73"/>
      <c r="P54" s="575"/>
      <c r="Q54" s="575"/>
      <c r="R54" s="570"/>
      <c r="S54" s="73"/>
      <c r="T54" s="569"/>
      <c r="U54" s="569"/>
      <c r="V54" s="569"/>
      <c r="W54" s="570"/>
      <c r="X54" s="16"/>
      <c r="AA54" s="419">
        <f>IF(OR(G54=3,G54=0),0,(IF(G54=1,C51,C53)))</f>
        <v>12</v>
      </c>
      <c r="AB54" s="419">
        <f>IF(OR(G54=3,G54=0),0,(IF(G54=1,C53,C51)))</f>
        <v>11</v>
      </c>
      <c r="AC54" s="419"/>
      <c r="AD54" s="419"/>
      <c r="AE54" s="419"/>
      <c r="AF54" s="419"/>
    </row>
    <row r="55" spans="1:32" s="13" customFormat="1" ht="12" customHeight="1">
      <c r="A55" s="646">
        <f>IF($C55="","",IF(AND($C55&gt;=1,$C55&lt;25),INDEX(ПодгОТ!$P$8:$P$31,C55),""))</f>
      </c>
      <c r="B55" s="638">
        <v>23</v>
      </c>
      <c r="C55" s="631" t="s">
        <v>48</v>
      </c>
      <c r="D55" s="625" t="str">
        <f>IF($C55="","",IF(AND($C55&gt;=1,$C55&lt;25),VLOOKUP($C55,ПодгОТ!$A$8:$AA$31,27),"Х"))</f>
        <v>Х</v>
      </c>
      <c r="E55" s="624">
        <f>IF(AND($C55&gt;=1,$C55&lt;25),VLOOKUP($C55,ПодгОТ!$A$8:$P$31,15),"")</f>
      </c>
      <c r="F55" s="629">
        <f>IF(AND($C55&gt;=1,$C55&lt;25),VLOOKUP($C55,ПодгОТ!$A$8:$P$31,6),"")</f>
      </c>
      <c r="G55" s="71"/>
      <c r="H55" s="576"/>
      <c r="I55" s="576"/>
      <c r="J55" s="577"/>
      <c r="K55" s="573"/>
      <c r="L55" s="574"/>
      <c r="M55" s="574"/>
      <c r="N55" s="574"/>
      <c r="O55" s="73"/>
      <c r="P55" s="569"/>
      <c r="Q55" s="569"/>
      <c r="R55" s="570"/>
      <c r="S55" s="73"/>
      <c r="T55" s="569"/>
      <c r="U55" s="569"/>
      <c r="V55" s="569"/>
      <c r="W55" s="570"/>
      <c r="X55" s="16"/>
      <c r="AA55" s="419"/>
      <c r="AB55" s="419"/>
      <c r="AC55" s="419"/>
      <c r="AD55" s="419"/>
      <c r="AE55" s="419"/>
      <c r="AF55" s="419"/>
    </row>
    <row r="56" spans="1:32" s="13" customFormat="1" ht="12" customHeight="1">
      <c r="A56" s="647"/>
      <c r="B56" s="639"/>
      <c r="C56" s="632"/>
      <c r="D56" s="626"/>
      <c r="E56" s="620"/>
      <c r="F56" s="630"/>
      <c r="G56" s="572" t="str">
        <f>IF(G58=0,CONCATENATE("поб.",D55,"/",D57),IF(G58=1,D55,IF(G58=2,D57,"Х")))</f>
        <v>ГОРОДИЛОВ</v>
      </c>
      <c r="H56" s="572"/>
      <c r="I56" s="572"/>
      <c r="J56" s="572" t="str">
        <f>IF(G58=1,E55,IF(G58=2,E57,""))</f>
        <v>М.В.</v>
      </c>
      <c r="K56" s="149">
        <v>2</v>
      </c>
      <c r="L56" s="579" t="s">
        <v>198</v>
      </c>
      <c r="M56" s="579"/>
      <c r="N56" s="579"/>
      <c r="O56" s="154"/>
      <c r="P56" s="569"/>
      <c r="Q56" s="569"/>
      <c r="R56" s="570"/>
      <c r="S56" s="73"/>
      <c r="T56" s="569"/>
      <c r="U56" s="569"/>
      <c r="V56" s="569"/>
      <c r="W56" s="570"/>
      <c r="X56" s="16"/>
      <c r="AA56" s="419"/>
      <c r="AB56" s="419"/>
      <c r="AC56" s="419">
        <f>IF(OR(K56=0,K56=3),0,IF(K56=1,AA54,AA58))</f>
        <v>4</v>
      </c>
      <c r="AD56" s="419">
        <f>IF(OR(K56=0,K56=3),0,IF(K56=1,AA58,AA54))</f>
        <v>12</v>
      </c>
      <c r="AE56" s="419"/>
      <c r="AF56" s="419"/>
    </row>
    <row r="57" spans="1:32" s="13" customFormat="1" ht="12" customHeight="1">
      <c r="A57" s="646" t="str">
        <f>IF($C57="","3 или 4",IF(AND($C57&gt;=1,$C57&lt;25),INDEX(ПодгОТ!$P$8:$P$31,C57),""))</f>
        <v>4 </v>
      </c>
      <c r="B57" s="638">
        <v>24</v>
      </c>
      <c r="C57" s="635">
        <v>4</v>
      </c>
      <c r="D57" s="627" t="str">
        <f>IF($C57="","",IF(AND($C57&gt;=1,$C57&lt;25),VLOOKUP($C57,ПодгОТ!$A$8:$AA$31,27),"Х"))</f>
        <v>ГОРОДИЛОВ</v>
      </c>
      <c r="E57" s="619" t="str">
        <f>IF(AND($C57&gt;=1,$C57&lt;25),VLOOKUP($C57,ПодгОТ!$A$8:$P$31,15),"")</f>
        <v>М.В.</v>
      </c>
      <c r="F57" s="621" t="str">
        <f>IF(AND($C57&gt;=1,$C57&lt;25),VLOOKUP($C57,ПодгОТ!$A$8:$P$31,6),"")</f>
        <v>Челябинск</v>
      </c>
      <c r="G57" s="574"/>
      <c r="H57" s="574"/>
      <c r="I57" s="574"/>
      <c r="J57" s="574"/>
      <c r="K57" s="73"/>
      <c r="L57" s="576"/>
      <c r="M57" s="576"/>
      <c r="N57" s="576"/>
      <c r="O57" s="154"/>
      <c r="P57" s="569"/>
      <c r="Q57" s="569"/>
      <c r="R57" s="570"/>
      <c r="S57" s="73"/>
      <c r="T57" s="569"/>
      <c r="U57" s="569"/>
      <c r="V57" s="569"/>
      <c r="W57" s="570"/>
      <c r="X57" s="16"/>
      <c r="AA57" s="419"/>
      <c r="AB57" s="419"/>
      <c r="AC57" s="419"/>
      <c r="AD57" s="419"/>
      <c r="AE57" s="419"/>
      <c r="AF57" s="419"/>
    </row>
    <row r="58" spans="1:32" s="13" customFormat="1" ht="12" customHeight="1">
      <c r="A58" s="647"/>
      <c r="B58" s="639"/>
      <c r="C58" s="636"/>
      <c r="D58" s="628"/>
      <c r="E58" s="620"/>
      <c r="F58" s="622"/>
      <c r="G58" s="484">
        <v>2</v>
      </c>
      <c r="H58" s="580"/>
      <c r="I58" s="580"/>
      <c r="J58" s="580"/>
      <c r="K58" s="154"/>
      <c r="L58" s="575"/>
      <c r="M58" s="575"/>
      <c r="N58" s="575"/>
      <c r="O58" s="160"/>
      <c r="P58" s="569"/>
      <c r="Q58" s="569"/>
      <c r="R58" s="570"/>
      <c r="S58" s="571" t="str">
        <f>IF(S60=0,CONCATENATE("поб.",O50,"/",O66),IF(S60=1,O50,IF(S60=2,O66,"Х")))</f>
        <v>ГОРОДИЛОВ</v>
      </c>
      <c r="T58" s="572"/>
      <c r="U58" s="572"/>
      <c r="V58" s="572"/>
      <c r="W58" s="648"/>
      <c r="X58" s="16"/>
      <c r="AA58" s="419">
        <f>IF(OR(G58=3,G58=0),0,(IF(G58=1,C55,C57)))</f>
        <v>4</v>
      </c>
      <c r="AB58" s="419" t="str">
        <f>IF(OR(G58=3,G58=0),0,(IF(G58=1,C57,C55)))</f>
        <v>Х</v>
      </c>
      <c r="AC58" s="419"/>
      <c r="AD58" s="419"/>
      <c r="AE58" s="419"/>
      <c r="AF58" s="419"/>
    </row>
    <row r="59" spans="1:32" s="13" customFormat="1" ht="12" customHeight="1">
      <c r="A59" s="646" t="str">
        <f>IF($C59="","5,6,7 или 8",IF(AND($C59&gt;=1,$C59&lt;25),INDEX(ПодгОТ!$P$8:$P$31,C59),""))</f>
        <v>5 </v>
      </c>
      <c r="B59" s="638">
        <v>25</v>
      </c>
      <c r="C59" s="635">
        <v>5</v>
      </c>
      <c r="D59" s="627" t="str">
        <f>IF($C59="","",IF(AND($C59&gt;=1,$C59&lt;25),VLOOKUP($C59,ПодгОТ!$A$8:$AA$31,27),"Х"))</f>
        <v>ПАДЕРИН</v>
      </c>
      <c r="E59" s="619" t="str">
        <f>IF(AND($C59&gt;=1,$C59&lt;25),VLOOKUP($C59,ПодгОТ!$A$8:$P$31,15),"")</f>
        <v>Н.Е.</v>
      </c>
      <c r="F59" s="619" t="str">
        <f>IF(AND($C59&gt;=1,$C59&lt;25),VLOOKUP($C59,ПодгОТ!$A$8:$P$31,6),"")</f>
        <v>Омск</v>
      </c>
      <c r="G59" s="71"/>
      <c r="H59" s="576"/>
      <c r="I59" s="576"/>
      <c r="J59" s="576"/>
      <c r="K59" s="154"/>
      <c r="L59" s="575"/>
      <c r="M59" s="575"/>
      <c r="N59" s="575"/>
      <c r="O59" s="160"/>
      <c r="P59" s="569"/>
      <c r="Q59" s="569"/>
      <c r="R59" s="570"/>
      <c r="S59" s="573"/>
      <c r="T59" s="574"/>
      <c r="U59" s="574"/>
      <c r="V59" s="574"/>
      <c r="W59" s="649"/>
      <c r="X59" s="16"/>
      <c r="AA59" s="419"/>
      <c r="AB59" s="419"/>
      <c r="AC59" s="419"/>
      <c r="AD59" s="419"/>
      <c r="AE59" s="419"/>
      <c r="AF59" s="419"/>
    </row>
    <row r="60" spans="1:32" s="13" customFormat="1" ht="12" customHeight="1">
      <c r="A60" s="647"/>
      <c r="B60" s="639"/>
      <c r="C60" s="636"/>
      <c r="D60" s="628"/>
      <c r="E60" s="620"/>
      <c r="F60" s="623"/>
      <c r="G60" s="572" t="str">
        <f>IF(G62=0,CONCATENATE("поб.",D59,"/",D61),IF(G62=1,D59,IF(G62=2,D61,"Х")))</f>
        <v>ПАДЕРИН</v>
      </c>
      <c r="H60" s="572"/>
      <c r="I60" s="572"/>
      <c r="J60" s="572" t="str">
        <f>IF(G62=1,E59,IF(G62=2,E61,""))</f>
        <v>Н.Е.</v>
      </c>
      <c r="K60" s="72"/>
      <c r="L60" s="575"/>
      <c r="M60" s="575"/>
      <c r="N60" s="575"/>
      <c r="O60" s="160"/>
      <c r="P60" s="569"/>
      <c r="Q60" s="569"/>
      <c r="R60" s="570"/>
      <c r="S60" s="149">
        <v>1</v>
      </c>
      <c r="T60" s="617" t="s">
        <v>204</v>
      </c>
      <c r="U60" s="579"/>
      <c r="V60" s="579"/>
      <c r="W60" s="579"/>
      <c r="X60" s="9"/>
      <c r="AA60" s="419"/>
      <c r="AB60" s="419"/>
      <c r="AC60" s="419"/>
      <c r="AD60" s="419"/>
      <c r="AE60" s="419"/>
      <c r="AF60" s="419"/>
    </row>
    <row r="61" spans="1:32" s="13" customFormat="1" ht="12" customHeight="1">
      <c r="A61" s="646">
        <f>IF($C61="","",IF(AND($C61&gt;=1,$C61&lt;25),INDEX(ПодгОТ!$P$8:$P$31,C61),""))</f>
      </c>
      <c r="B61" s="638">
        <v>26</v>
      </c>
      <c r="C61" s="631" t="s">
        <v>48</v>
      </c>
      <c r="D61" s="625" t="str">
        <f>IF($C61="","",IF(AND($C61&gt;=1,$C61&lt;25),VLOOKUP($C61,ПодгОТ!$A$8:$AA$31,27),"Х"))</f>
        <v>Х</v>
      </c>
      <c r="E61" s="624">
        <f>IF(AND($C61&gt;=1,$C61&lt;25),VLOOKUP($C61,ПодгОТ!$A$8:$P$31,15),"")</f>
      </c>
      <c r="F61" s="629">
        <f>IF(AND($C61&gt;=1,$C61&lt;25),VLOOKUP($C61,ПодгОТ!$A$8:$P$31,6),"")</f>
      </c>
      <c r="G61" s="574"/>
      <c r="H61" s="574"/>
      <c r="I61" s="574"/>
      <c r="J61" s="574"/>
      <c r="K61" s="72"/>
      <c r="L61" s="575"/>
      <c r="M61" s="575"/>
      <c r="N61" s="575"/>
      <c r="O61" s="160"/>
      <c r="P61" s="569"/>
      <c r="Q61" s="569"/>
      <c r="R61" s="570"/>
      <c r="S61" s="73"/>
      <c r="T61" s="576"/>
      <c r="U61" s="576"/>
      <c r="V61" s="576"/>
      <c r="W61" s="576"/>
      <c r="X61" s="9"/>
      <c r="AA61" s="419"/>
      <c r="AB61" s="419"/>
      <c r="AC61" s="419"/>
      <c r="AD61" s="419"/>
      <c r="AE61" s="419"/>
      <c r="AF61" s="419"/>
    </row>
    <row r="62" spans="1:32" s="13" customFormat="1" ht="12" customHeight="1">
      <c r="A62" s="647"/>
      <c r="B62" s="639"/>
      <c r="C62" s="632"/>
      <c r="D62" s="626"/>
      <c r="E62" s="620"/>
      <c r="F62" s="630"/>
      <c r="G62" s="484">
        <v>1</v>
      </c>
      <c r="H62" s="580"/>
      <c r="I62" s="580"/>
      <c r="J62" s="581"/>
      <c r="K62" s="571" t="str">
        <f>IF(K64=0,CONCATENATE("поб.",G60,"/",G64),IF(K64=1,G60,IF(K64=2,G64,"Х")))</f>
        <v>ПАДЕРИН</v>
      </c>
      <c r="L62" s="572"/>
      <c r="M62" s="572"/>
      <c r="N62" s="572" t="str">
        <f>IF(K64=1,J60,IF(K64=2,J64,""))</f>
        <v>Н.Е.</v>
      </c>
      <c r="O62" s="72"/>
      <c r="P62" s="569"/>
      <c r="Q62" s="569"/>
      <c r="R62" s="570"/>
      <c r="S62" s="73"/>
      <c r="T62" s="569"/>
      <c r="U62" s="569"/>
      <c r="V62" s="569"/>
      <c r="W62" s="569"/>
      <c r="X62" s="9"/>
      <c r="AA62" s="419">
        <f>IF(OR(G62=3,G62=0),0,(IF(G62=1,C59,C61)))</f>
        <v>5</v>
      </c>
      <c r="AB62" s="419" t="str">
        <f>IF(OR(G62=3,G62=0),0,(IF(G62=1,C61,C59)))</f>
        <v>Х</v>
      </c>
      <c r="AC62" s="419"/>
      <c r="AD62" s="419"/>
      <c r="AE62" s="419"/>
      <c r="AF62" s="419"/>
    </row>
    <row r="63" spans="1:32" s="13" customFormat="1" ht="12" customHeight="1">
      <c r="A63" s="646">
        <f>IF($C63="","",IF(AND($C63&gt;=1,$C63&lt;25),INDEX(ПодгОТ!$P$8:$P$31,C63),""))</f>
      </c>
      <c r="B63" s="638">
        <v>27</v>
      </c>
      <c r="C63" s="633">
        <v>13</v>
      </c>
      <c r="D63" s="627" t="str">
        <f>IF($C63="","",IF(AND($C63&gt;=1,$C63&lt;25),VLOOKUP($C63,ПодгОТ!$A$8:$AA$31,27),"Х"))</f>
        <v>КОЗЛОВ</v>
      </c>
      <c r="E63" s="619" t="str">
        <f>IF(AND($C63&gt;=1,$C63&lt;25),VLOOKUP($C63,ПодгОТ!$A$8:$P$31,15),"")</f>
        <v>Н.Ю.</v>
      </c>
      <c r="F63" s="619" t="str">
        <f>IF(AND($C63&gt;=1,$C63&lt;25),VLOOKUP($C63,ПодгОТ!$A$8:$P$31,6),"")</f>
        <v>Екатеринбург</v>
      </c>
      <c r="G63" s="71"/>
      <c r="H63" s="576"/>
      <c r="I63" s="576"/>
      <c r="J63" s="577"/>
      <c r="K63" s="573"/>
      <c r="L63" s="574"/>
      <c r="M63" s="574"/>
      <c r="N63" s="574"/>
      <c r="O63" s="72"/>
      <c r="P63" s="569"/>
      <c r="Q63" s="569"/>
      <c r="R63" s="570"/>
      <c r="S63" s="73"/>
      <c r="T63" s="569"/>
      <c r="U63" s="569"/>
      <c r="V63" s="569"/>
      <c r="W63" s="569"/>
      <c r="X63" s="9"/>
      <c r="AA63" s="419"/>
      <c r="AB63" s="419"/>
      <c r="AC63" s="419"/>
      <c r="AD63" s="419"/>
      <c r="AE63" s="419"/>
      <c r="AF63" s="419"/>
    </row>
    <row r="64" spans="1:32" s="13" customFormat="1" ht="12" customHeight="1">
      <c r="A64" s="647"/>
      <c r="B64" s="639"/>
      <c r="C64" s="634"/>
      <c r="D64" s="628"/>
      <c r="E64" s="620"/>
      <c r="F64" s="623"/>
      <c r="G64" s="572" t="str">
        <f>IF(G66=0,CONCATENATE("поб.",D63,"/",D65),IF(G66=1,D63,IF(G66=2,D65,"Х")))</f>
        <v>КОЗЛОВ</v>
      </c>
      <c r="H64" s="572"/>
      <c r="I64" s="572"/>
      <c r="J64" s="572" t="str">
        <f>IF(G66=1,E63,IF(G66=2,E65,""))</f>
        <v>Н.Ю.</v>
      </c>
      <c r="K64" s="149">
        <v>1</v>
      </c>
      <c r="L64" s="617" t="s">
        <v>198</v>
      </c>
      <c r="M64" s="579"/>
      <c r="N64" s="618"/>
      <c r="O64" s="161"/>
      <c r="P64" s="569"/>
      <c r="Q64" s="569"/>
      <c r="R64" s="570"/>
      <c r="S64" s="73"/>
      <c r="T64" s="569"/>
      <c r="U64" s="569"/>
      <c r="V64" s="569"/>
      <c r="W64" s="569"/>
      <c r="X64" s="9"/>
      <c r="AA64" s="419"/>
      <c r="AB64" s="419"/>
      <c r="AC64" s="419">
        <f>IF(OR(K64=0,K64=3),0,IF(K64=1,AA62,AA66))</f>
        <v>5</v>
      </c>
      <c r="AD64" s="419">
        <f>IF(OR(K64=0,K64=3),0,IF(K64=1,AA66,AA62))</f>
        <v>13</v>
      </c>
      <c r="AE64" s="419"/>
      <c r="AF64" s="419"/>
    </row>
    <row r="65" spans="1:32" s="13" customFormat="1" ht="12" customHeight="1">
      <c r="A65" s="646">
        <f>IF($C65="","",IF(AND($C65&gt;=1,$C65&lt;25),INDEX(ПодгОТ!$P$8:$P$31,C65),""))</f>
      </c>
      <c r="B65" s="638">
        <v>28</v>
      </c>
      <c r="C65" s="633">
        <v>17</v>
      </c>
      <c r="D65" s="627" t="str">
        <f>IF($C65="","",IF(AND($C65&gt;=1,$C65&lt;25),VLOOKUP($C65,ПодгОТ!$A$8:$AA$31,27),"Х"))</f>
        <v>ПОТАПОВ</v>
      </c>
      <c r="E65" s="619" t="str">
        <f>IF(AND($C65&gt;=1,$C65&lt;25),VLOOKUP($C65,ПодгОТ!$A$8:$P$31,15),"")</f>
        <v>Н.О.</v>
      </c>
      <c r="F65" s="621" t="str">
        <f>IF(AND($C65&gt;=1,$C65&lt;25),VLOOKUP($C65,ПодгОТ!$A$8:$P$31,6),"")</f>
        <v>Челябинск</v>
      </c>
      <c r="G65" s="574"/>
      <c r="H65" s="574"/>
      <c r="I65" s="574"/>
      <c r="J65" s="574"/>
      <c r="K65" s="73"/>
      <c r="L65" s="576"/>
      <c r="M65" s="576"/>
      <c r="N65" s="577"/>
      <c r="O65" s="161"/>
      <c r="P65" s="569"/>
      <c r="Q65" s="569"/>
      <c r="R65" s="570"/>
      <c r="S65" s="73"/>
      <c r="T65" s="569"/>
      <c r="U65" s="569"/>
      <c r="V65" s="569"/>
      <c r="W65" s="569"/>
      <c r="X65" s="9"/>
      <c r="AA65" s="419"/>
      <c r="AB65" s="419"/>
      <c r="AC65" s="419"/>
      <c r="AD65" s="419"/>
      <c r="AE65" s="419"/>
      <c r="AF65" s="419"/>
    </row>
    <row r="66" spans="1:32" s="13" customFormat="1" ht="12" customHeight="1">
      <c r="A66" s="647"/>
      <c r="B66" s="639"/>
      <c r="C66" s="634"/>
      <c r="D66" s="628"/>
      <c r="E66" s="620"/>
      <c r="F66" s="622"/>
      <c r="G66" s="148">
        <v>1</v>
      </c>
      <c r="H66" s="617" t="s">
        <v>197</v>
      </c>
      <c r="I66" s="579"/>
      <c r="J66" s="579"/>
      <c r="K66" s="154"/>
      <c r="L66" s="575"/>
      <c r="M66" s="575"/>
      <c r="N66" s="578"/>
      <c r="O66" s="571" t="str">
        <f>IF(O68=0,CONCATENATE("поб.",K62,"/",K70),IF(O68=1,K62,IF(O68=2,K70,"Х")))</f>
        <v>ШВАЙЦЕР</v>
      </c>
      <c r="P66" s="572"/>
      <c r="Q66" s="572"/>
      <c r="R66" s="572" t="str">
        <f>IF(O68=1,N62,IF(O68=2,N70,""))</f>
        <v>Д.А.</v>
      </c>
      <c r="S66" s="73"/>
      <c r="T66" s="569"/>
      <c r="U66" s="569"/>
      <c r="V66" s="569"/>
      <c r="W66" s="569"/>
      <c r="X66" s="9"/>
      <c r="AA66" s="419">
        <f>IF(OR(G66=3,G66=0),0,(IF(G66=1,C63,C65)))</f>
        <v>13</v>
      </c>
      <c r="AB66" s="419">
        <f>IF(OR(G66=3,G66=0),0,(IF(G66=1,C65,C63)))</f>
        <v>17</v>
      </c>
      <c r="AC66" s="419"/>
      <c r="AD66" s="419"/>
      <c r="AE66" s="419"/>
      <c r="AF66" s="419"/>
    </row>
    <row r="67" spans="1:32" s="13" customFormat="1" ht="12" customHeight="1">
      <c r="A67" s="646">
        <f>IF($C67="","",IF(AND($C67&gt;=1,$C67&lt;25),INDEX(ПодгОТ!$P$8:$P$31,C67),""))</f>
      </c>
      <c r="B67" s="638">
        <v>29</v>
      </c>
      <c r="C67" s="633">
        <v>9</v>
      </c>
      <c r="D67" s="627" t="str">
        <f>IF($C67="","",IF(AND($C67&gt;=1,$C67&lt;25),VLOOKUP($C67,ПодгОТ!$A$8:$AA$31,27),"Х"))</f>
        <v>ШАЙХУТДИНОВ</v>
      </c>
      <c r="E67" s="619" t="str">
        <f>IF(AND($C67&gt;=1,$C67&lt;25),VLOOKUP($C67,ПодгОТ!$A$8:$P$31,15),"")</f>
        <v>В.А.</v>
      </c>
      <c r="F67" s="619" t="str">
        <f>IF(AND($C67&gt;=1,$C67&lt;25),VLOOKUP($C67,ПодгОТ!$A$8:$P$31,6),"")</f>
        <v>Екатеринбург</v>
      </c>
      <c r="G67" s="71"/>
      <c r="H67" s="576"/>
      <c r="I67" s="576"/>
      <c r="J67" s="576"/>
      <c r="K67" s="154"/>
      <c r="L67" s="575"/>
      <c r="M67" s="575"/>
      <c r="N67" s="578"/>
      <c r="O67" s="573"/>
      <c r="P67" s="574"/>
      <c r="Q67" s="574"/>
      <c r="R67" s="574"/>
      <c r="S67" s="73"/>
      <c r="T67" s="569"/>
      <c r="U67" s="569"/>
      <c r="V67" s="569"/>
      <c r="W67" s="569"/>
      <c r="X67" s="9"/>
      <c r="AA67" s="419"/>
      <c r="AB67" s="419"/>
      <c r="AC67" s="419"/>
      <c r="AD67" s="419"/>
      <c r="AE67" s="419"/>
      <c r="AF67" s="419"/>
    </row>
    <row r="68" spans="1:32" s="13" customFormat="1" ht="12" customHeight="1">
      <c r="A68" s="647"/>
      <c r="B68" s="639"/>
      <c r="C68" s="634"/>
      <c r="D68" s="628"/>
      <c r="E68" s="620"/>
      <c r="F68" s="623"/>
      <c r="G68" s="572" t="str">
        <f>IF(G70=0,CONCATENATE("поб.",D67,"/",D69),IF(G70=1,D67,IF(G70=2,D69,"Х")))</f>
        <v>ШАЙХУТДИНОВ</v>
      </c>
      <c r="H68" s="572"/>
      <c r="I68" s="572"/>
      <c r="J68" s="572" t="str">
        <f>IF(G70=1,E67,IF(G70=2,E69,""))</f>
        <v>В.А.</v>
      </c>
      <c r="K68" s="72"/>
      <c r="L68" s="575"/>
      <c r="M68" s="575"/>
      <c r="N68" s="578"/>
      <c r="O68" s="150">
        <v>2</v>
      </c>
      <c r="P68" s="617" t="s">
        <v>202</v>
      </c>
      <c r="Q68" s="579"/>
      <c r="R68" s="579"/>
      <c r="S68" s="154"/>
      <c r="T68" s="569"/>
      <c r="U68" s="569"/>
      <c r="V68" s="569"/>
      <c r="W68" s="637"/>
      <c r="X68" s="16"/>
      <c r="AA68" s="419"/>
      <c r="AB68" s="419"/>
      <c r="AC68" s="419"/>
      <c r="AD68" s="419"/>
      <c r="AE68" s="419">
        <f>IF(OR(O68=0,O68=3),0,IF(O68=1,AC64,AC72))</f>
        <v>2</v>
      </c>
      <c r="AF68" s="419">
        <f>IF(OR(O68=0,O68=3),0,IF(O68=1,AC72,AC64))</f>
        <v>5</v>
      </c>
    </row>
    <row r="69" spans="1:32" s="13" customFormat="1" ht="12" customHeight="1">
      <c r="A69" s="646">
        <f>IF($C69="","",IF(AND($C69&gt;=1,$C69&lt;25),INDEX(ПодгОТ!$P$8:$P$31,C69),""))</f>
      </c>
      <c r="B69" s="638">
        <v>30</v>
      </c>
      <c r="C69" s="633" t="s">
        <v>156</v>
      </c>
      <c r="D69" s="627" t="str">
        <f>IF($C69="","",IF(AND($C69&gt;=1,$C69&lt;25),VLOOKUP($C69,ПодгОТ!$A$8:$AA$31,27),"Х"))</f>
        <v>Х</v>
      </c>
      <c r="E69" s="619">
        <f>IF(AND($C69&gt;=1,$C69&lt;25),VLOOKUP($C69,ПодгОТ!$A$8:$P$31,15),"")</f>
      </c>
      <c r="F69" s="621">
        <f>IF(AND($C69&gt;=1,$C69&lt;25),VLOOKUP($C69,ПодгОТ!$A$8:$P$31,6),"")</f>
      </c>
      <c r="G69" s="574"/>
      <c r="H69" s="574"/>
      <c r="I69" s="574"/>
      <c r="J69" s="574"/>
      <c r="K69" s="72"/>
      <c r="L69" s="575"/>
      <c r="M69" s="575"/>
      <c r="N69" s="578"/>
      <c r="O69" s="162"/>
      <c r="P69" s="576"/>
      <c r="Q69" s="576"/>
      <c r="R69" s="576"/>
      <c r="S69" s="154"/>
      <c r="T69" s="569"/>
      <c r="U69" s="569"/>
      <c r="V69" s="569"/>
      <c r="W69" s="637"/>
      <c r="X69" s="16"/>
      <c r="AA69" s="419"/>
      <c r="AB69" s="419"/>
      <c r="AC69" s="419"/>
      <c r="AD69" s="419"/>
      <c r="AE69" s="419"/>
      <c r="AF69" s="419"/>
    </row>
    <row r="70" spans="1:32" s="13" customFormat="1" ht="12" customHeight="1">
      <c r="A70" s="647"/>
      <c r="B70" s="639"/>
      <c r="C70" s="634"/>
      <c r="D70" s="628"/>
      <c r="E70" s="620"/>
      <c r="F70" s="622"/>
      <c r="G70" s="148">
        <v>1</v>
      </c>
      <c r="H70" s="579"/>
      <c r="I70" s="579"/>
      <c r="J70" s="618"/>
      <c r="K70" s="571" t="str">
        <f>IF(K72=0,CONCATENATE("поб.",G68,"/",G72),IF(K72=1,G68,IF(K72=2,G72,"Х")))</f>
        <v>ШВАЙЦЕР</v>
      </c>
      <c r="L70" s="572"/>
      <c r="M70" s="572"/>
      <c r="N70" s="572" t="str">
        <f>IF(K72=1,J68,IF(K72=2,J72,""))</f>
        <v>Д.А.</v>
      </c>
      <c r="O70" s="73"/>
      <c r="P70" s="575"/>
      <c r="Q70" s="575"/>
      <c r="R70" s="569"/>
      <c r="S70" s="72"/>
      <c r="T70" s="569"/>
      <c r="U70" s="569"/>
      <c r="V70" s="569"/>
      <c r="W70" s="637"/>
      <c r="X70" s="16"/>
      <c r="AA70" s="419">
        <f>IF(OR(G70=3,G70=0),0,(IF(G70=1,C67,C69)))</f>
        <v>9</v>
      </c>
      <c r="AB70" s="419" t="str">
        <f>IF(OR(G70=3,G70=0),0,(IF(G70=1,C69,C67)))</f>
        <v>х</v>
      </c>
      <c r="AC70" s="419"/>
      <c r="AD70" s="419"/>
      <c r="AE70" s="419"/>
      <c r="AF70" s="419"/>
    </row>
    <row r="71" spans="1:32" s="13" customFormat="1" ht="12" customHeight="1">
      <c r="A71" s="646">
        <f>IF($C71="","",IF(AND($C71&gt;=1,$C71&lt;25),INDEX(ПодгОТ!$P$8:$P$31,C71),""))</f>
      </c>
      <c r="B71" s="638">
        <v>31</v>
      </c>
      <c r="C71" s="631" t="s">
        <v>48</v>
      </c>
      <c r="D71" s="625" t="str">
        <f>IF($C71="","",IF(AND($C71&gt;=1,$C71&lt;25),VLOOKUP($C71,ПодгОТ!$A$8:$AA$31,27),"Х"))</f>
        <v>Х</v>
      </c>
      <c r="E71" s="624">
        <f>IF(AND($C71&gt;=1,$C71&lt;25),VLOOKUP($C71,ПодгОТ!$A$8:$P$31,15),"")</f>
      </c>
      <c r="F71" s="629">
        <f>IF(AND($C71&gt;=1,$C71&lt;25),VLOOKUP($C71,ПодгОТ!$A$8:$P$31,6),"")</f>
      </c>
      <c r="G71" s="71"/>
      <c r="H71" s="576"/>
      <c r="I71" s="576"/>
      <c r="J71" s="577"/>
      <c r="K71" s="573"/>
      <c r="L71" s="574"/>
      <c r="M71" s="574"/>
      <c r="N71" s="574"/>
      <c r="O71" s="73"/>
      <c r="P71" s="569"/>
      <c r="Q71" s="569"/>
      <c r="R71" s="569"/>
      <c r="S71" s="72"/>
      <c r="T71" s="569"/>
      <c r="U71" s="569"/>
      <c r="V71" s="569"/>
      <c r="W71" s="637"/>
      <c r="X71" s="16"/>
      <c r="AA71" s="419"/>
      <c r="AB71" s="419"/>
      <c r="AC71" s="419"/>
      <c r="AD71" s="419"/>
      <c r="AE71" s="419"/>
      <c r="AF71" s="419"/>
    </row>
    <row r="72" spans="1:32" s="13" customFormat="1" ht="12" customHeight="1">
      <c r="A72" s="647"/>
      <c r="B72" s="639"/>
      <c r="C72" s="632"/>
      <c r="D72" s="626"/>
      <c r="E72" s="620"/>
      <c r="F72" s="630"/>
      <c r="G72" s="572" t="str">
        <f>IF(G74=0,CONCATENATE("поб.",D71,"/",D73),IF(G74=1,D71,IF(G74=2,D73,"Х")))</f>
        <v>ШВАЙЦЕР</v>
      </c>
      <c r="H72" s="572"/>
      <c r="I72" s="572"/>
      <c r="J72" s="572" t="str">
        <f>IF(G74=1,E71,IF(G74=2,E73,""))</f>
        <v>Д.А.</v>
      </c>
      <c r="K72" s="149">
        <v>2</v>
      </c>
      <c r="L72" s="617" t="s">
        <v>199</v>
      </c>
      <c r="M72" s="579"/>
      <c r="N72" s="579"/>
      <c r="O72" s="154"/>
      <c r="P72" s="569"/>
      <c r="Q72" s="569"/>
      <c r="R72" s="569"/>
      <c r="S72" s="72"/>
      <c r="T72" s="569"/>
      <c r="U72" s="569"/>
      <c r="V72" s="569"/>
      <c r="W72" s="637"/>
      <c r="X72" s="16"/>
      <c r="AA72" s="419"/>
      <c r="AB72" s="419"/>
      <c r="AC72" s="419">
        <f>IF(OR(K72=0,K72=3),0,IF(K72=1,AA70,AA74))</f>
        <v>2</v>
      </c>
      <c r="AD72" s="419">
        <f>IF(OR(K72=0,K72=3),0,IF(K72=1,AA74,AA70))</f>
        <v>9</v>
      </c>
      <c r="AE72" s="419"/>
      <c r="AF72" s="419"/>
    </row>
    <row r="73" spans="1:32" s="13" customFormat="1" ht="12" customHeight="1">
      <c r="A73" s="646" t="str">
        <f>IF($C73="","2",IF(AND($C73&gt;=1,$C73&lt;25),INDEX(ПодгОТ!$P$8:$P$31,C73),""))</f>
        <v>2 </v>
      </c>
      <c r="B73" s="638">
        <v>32</v>
      </c>
      <c r="C73" s="635">
        <v>2</v>
      </c>
      <c r="D73" s="627" t="str">
        <f>IF($C73="","",IF(AND($C73&gt;=1,$C73&lt;25),VLOOKUP($C73,ПодгОТ!$A$8:$AA$31,27),"Х"))</f>
        <v>ШВАЙЦЕР</v>
      </c>
      <c r="E73" s="619" t="str">
        <f>IF(AND($C73&gt;=1,$C73&lt;25),VLOOKUP($C73,ПодгОТ!$A$8:$P$31,15),"")</f>
        <v>Д.А.</v>
      </c>
      <c r="F73" s="621" t="str">
        <f>IF(AND($C73&gt;=1,$C73&lt;25),VLOOKUP($C73,ПодгОТ!$A$8:$P$31,6),"")</f>
        <v>Екатеринбург</v>
      </c>
      <c r="G73" s="574"/>
      <c r="H73" s="574"/>
      <c r="I73" s="574"/>
      <c r="J73" s="574"/>
      <c r="K73" s="73"/>
      <c r="L73" s="576"/>
      <c r="M73" s="576"/>
      <c r="N73" s="576"/>
      <c r="O73" s="154"/>
      <c r="P73" s="569"/>
      <c r="Q73" s="569"/>
      <c r="R73" s="569"/>
      <c r="S73" s="72"/>
      <c r="T73" s="569"/>
      <c r="U73" s="569"/>
      <c r="V73" s="569"/>
      <c r="W73" s="569"/>
      <c r="X73" s="16"/>
      <c r="AA73" s="419"/>
      <c r="AB73" s="419"/>
      <c r="AC73" s="419"/>
      <c r="AD73" s="419"/>
      <c r="AE73" s="419"/>
      <c r="AF73" s="419"/>
    </row>
    <row r="74" spans="1:32" s="13" customFormat="1" ht="12" customHeight="1">
      <c r="A74" s="647"/>
      <c r="B74" s="639"/>
      <c r="C74" s="636"/>
      <c r="D74" s="628"/>
      <c r="E74" s="620"/>
      <c r="F74" s="622"/>
      <c r="G74" s="484">
        <v>2</v>
      </c>
      <c r="H74" s="580"/>
      <c r="I74" s="580"/>
      <c r="J74" s="580"/>
      <c r="K74" s="154"/>
      <c r="L74" s="575"/>
      <c r="M74" s="575"/>
      <c r="N74" s="575"/>
      <c r="O74" s="160"/>
      <c r="P74" s="86"/>
      <c r="Q74" s="86"/>
      <c r="R74" s="90"/>
      <c r="S74" s="163"/>
      <c r="T74" s="90"/>
      <c r="U74" s="90"/>
      <c r="V74" s="90"/>
      <c r="W74" s="86"/>
      <c r="X74" s="16"/>
      <c r="AA74" s="419">
        <f>IF(OR(G74=3,G74=0),0,(IF(G74=1,C71,C73)))</f>
        <v>2</v>
      </c>
      <c r="AB74" s="419" t="str">
        <f>IF(OR(G74=3,G74=0),0,(IF(G74=1,C73,C71)))</f>
        <v>Х</v>
      </c>
      <c r="AC74" s="419"/>
      <c r="AD74" s="419"/>
      <c r="AE74" s="419"/>
      <c r="AF74" s="419"/>
    </row>
    <row r="75" spans="1:32" s="13" customFormat="1" ht="12" customHeight="1">
      <c r="A75" s="87"/>
      <c r="B75" s="9"/>
      <c r="C75" s="426"/>
      <c r="D75" s="88"/>
      <c r="E75" s="89"/>
      <c r="F75" s="71"/>
      <c r="G75" s="155"/>
      <c r="H75" s="576"/>
      <c r="I75" s="576"/>
      <c r="J75" s="66"/>
      <c r="K75" s="154"/>
      <c r="L75" s="67"/>
      <c r="M75" s="67"/>
      <c r="N75" s="600" t="s">
        <v>17</v>
      </c>
      <c r="O75" s="599" t="s">
        <v>17</v>
      </c>
      <c r="P75" s="595" t="s">
        <v>18</v>
      </c>
      <c r="Q75" s="595"/>
      <c r="R75" s="595"/>
      <c r="S75" s="595"/>
      <c r="T75" s="596"/>
      <c r="U75" s="611" t="s">
        <v>62</v>
      </c>
      <c r="V75" s="612"/>
      <c r="W75" s="613"/>
      <c r="X75" s="16"/>
      <c r="AA75" s="419"/>
      <c r="AB75" s="419"/>
      <c r="AC75" s="419"/>
      <c r="AD75" s="419"/>
      <c r="AE75" s="419"/>
      <c r="AF75" s="419"/>
    </row>
    <row r="76" spans="4:23" ht="12" customHeight="1">
      <c r="D76" s="656" t="str">
        <f>IF(ПолуфиналНеявка(T28),"Х",IF(S28=0,CONCATENATE("пр.",O18,"/",O34),IF(S28=1,O34,IF(S28=2,O18,"Х"))))</f>
        <v>ЦВИКЛИЧ</v>
      </c>
      <c r="E76" s="656"/>
      <c r="F76" s="656"/>
      <c r="G76" s="502"/>
      <c r="H76" s="606"/>
      <c r="I76" s="606"/>
      <c r="J76" s="606"/>
      <c r="K76" s="503"/>
      <c r="L76" s="504"/>
      <c r="M76" s="21"/>
      <c r="N76" s="600"/>
      <c r="O76" s="599"/>
      <c r="P76" s="597"/>
      <c r="Q76" s="597"/>
      <c r="R76" s="597"/>
      <c r="S76" s="597"/>
      <c r="T76" s="598"/>
      <c r="U76" s="614"/>
      <c r="V76" s="615"/>
      <c r="W76" s="616"/>
    </row>
    <row r="77" spans="2:23" ht="12" customHeight="1">
      <c r="B77" s="8"/>
      <c r="C77" s="427"/>
      <c r="D77" s="603"/>
      <c r="E77" s="603"/>
      <c r="F77" s="603"/>
      <c r="G77" s="654" t="str">
        <f>IF(G79=0,"",IF(G79=1,D76,IF(G79=2,D78,"Х")))</f>
        <v>ШВАЙЦЕР</v>
      </c>
      <c r="H77" s="654"/>
      <c r="I77" s="654"/>
      <c r="J77" s="654"/>
      <c r="K77" s="505"/>
      <c r="L77" s="506"/>
      <c r="M77" s="22"/>
      <c r="N77" s="23">
        <v>1</v>
      </c>
      <c r="O77" s="260">
        <f>IF(P77="","",1)</f>
        <v>1</v>
      </c>
      <c r="P77" s="567" t="str">
        <f>IF(OR(ПодгОТ!B8=0,ПодгОТ!P8="ОЖ"),"",ПодгОТ!AA8)</f>
        <v>ТИХОНОВ</v>
      </c>
      <c r="Q77" s="567"/>
      <c r="R77" s="567"/>
      <c r="S77" s="567"/>
      <c r="T77" s="568"/>
      <c r="U77" s="608">
        <f>IF(OR(ПодгОТ!B8=0,ПодгОТ!P8="ОЖ"),"",ПодгОТ!B8)</f>
        <v>483</v>
      </c>
      <c r="V77" s="609"/>
      <c r="W77" s="610"/>
    </row>
    <row r="78" spans="2:23" ht="12" customHeight="1">
      <c r="B78" s="18"/>
      <c r="C78" s="428"/>
      <c r="D78" s="601" t="str">
        <f>IF(ПолуфиналНеявка(T60),"Х",IF(S60=0,CONCATENATE("пр.",O50,"/",O66),IF(S60=1,O66,IF(S60=2,O50,"Х"))))</f>
        <v>ШВАЙЦЕР</v>
      </c>
      <c r="E78" s="601"/>
      <c r="F78" s="602"/>
      <c r="G78" s="655"/>
      <c r="H78" s="655"/>
      <c r="I78" s="655"/>
      <c r="J78" s="655"/>
      <c r="K78" s="501"/>
      <c r="L78" s="605" t="s">
        <v>27</v>
      </c>
      <c r="M78" s="102"/>
      <c r="N78" s="23">
        <v>2</v>
      </c>
      <c r="O78" s="260">
        <f>IF(P78="","",2)</f>
        <v>2</v>
      </c>
      <c r="P78" s="567" t="str">
        <f>IF(OR(ПодгОТ!B9=0,ПодгОТ!P9="ОЖ"),"",ПодгОТ!AA9)</f>
        <v>ШВАЙЦЕР</v>
      </c>
      <c r="Q78" s="567"/>
      <c r="R78" s="567"/>
      <c r="S78" s="567"/>
      <c r="T78" s="568"/>
      <c r="U78" s="608">
        <f>IF(OR(ПодгОТ!B9=0,ПодгОТ!P9="ОЖ"),"",ПодгОТ!B9)</f>
        <v>379</v>
      </c>
      <c r="V78" s="609"/>
      <c r="W78" s="610"/>
    </row>
    <row r="79" spans="2:23" ht="12" customHeight="1">
      <c r="B79" s="8"/>
      <c r="C79" s="427"/>
      <c r="D79" s="603"/>
      <c r="E79" s="603"/>
      <c r="F79" s="604"/>
      <c r="G79" s="148">
        <v>2</v>
      </c>
      <c r="H79" s="607" t="s">
        <v>206</v>
      </c>
      <c r="I79" s="607"/>
      <c r="J79" s="607"/>
      <c r="K79" s="507"/>
      <c r="L79" s="605"/>
      <c r="M79" s="102"/>
      <c r="N79" s="23">
        <v>3</v>
      </c>
      <c r="O79" s="260">
        <f>IF(P79="","",3)</f>
        <v>3</v>
      </c>
      <c r="P79" s="567" t="str">
        <f>IF(OR(ПодгОТ!B10=0,ПодгОТ!P10="ОЖ",ПодгОТ!$C$50&lt;9),"",ПодгОТ!AA10)</f>
        <v>ЦВИКЛИЧ</v>
      </c>
      <c r="Q79" s="567"/>
      <c r="R79" s="567"/>
      <c r="S79" s="567"/>
      <c r="T79" s="568"/>
      <c r="U79" s="608">
        <f>IF(OR(ПодгОТ!B10=0,ПодгОТ!P10="ОЖ",ПодгОТ!$C$50&lt;9),"",ПодгОТ!B10)</f>
        <v>262</v>
      </c>
      <c r="V79" s="609"/>
      <c r="W79" s="610"/>
    </row>
    <row r="80" spans="4:23" ht="12" customHeight="1">
      <c r="D80" s="508"/>
      <c r="E80" s="508"/>
      <c r="F80" s="508"/>
      <c r="G80" s="509"/>
      <c r="H80" s="659"/>
      <c r="I80" s="659"/>
      <c r="J80" s="659"/>
      <c r="K80" s="507"/>
      <c r="L80" s="504"/>
      <c r="M80" s="21"/>
      <c r="N80" s="23">
        <v>4</v>
      </c>
      <c r="O80" s="260">
        <f>IF(P80="","",4)</f>
        <v>4</v>
      </c>
      <c r="P80" s="567" t="str">
        <f>IF(OR(ПодгОТ!B11=0,ПодгОТ!P11="ОЖ",ПодгОТ!$C$50&lt;9),"",ПодгОТ!AA11)</f>
        <v>ГОРОДИЛОВ</v>
      </c>
      <c r="Q80" s="567"/>
      <c r="R80" s="567"/>
      <c r="S80" s="567"/>
      <c r="T80" s="568"/>
      <c r="U80" s="608">
        <f>IF(OR(ПодгОТ!B11=0,ПодгОТ!P11="ОЖ",ПодгОТ!$C$50&lt;9),"",ПодгОТ!B11)</f>
        <v>256</v>
      </c>
      <c r="V80" s="609"/>
      <c r="W80" s="610"/>
    </row>
    <row r="81" spans="11:23" ht="12" customHeight="1">
      <c r="K81" s="157"/>
      <c r="L81" s="21"/>
      <c r="M81" s="21"/>
      <c r="N81" s="23">
        <v>5</v>
      </c>
      <c r="O81" s="260">
        <f>IF(P81="","",5)</f>
        <v>5</v>
      </c>
      <c r="P81" s="567" t="str">
        <f>IF(OR(ПодгОТ!B12=0,ПодгОТ!P12="ОЖ",ПодгОТ!$C$50&lt;17),"",ПодгОТ!AA12)</f>
        <v>ПАДЕРИН</v>
      </c>
      <c r="Q81" s="567"/>
      <c r="R81" s="567"/>
      <c r="S81" s="567"/>
      <c r="T81" s="568"/>
      <c r="U81" s="608">
        <f>IF(OR(ПодгОТ!B12=0,ПодгОТ!P12="ОЖ",ПодгОТ!$C$50&lt;17),"",ПодгОТ!B12)</f>
        <v>253</v>
      </c>
      <c r="V81" s="609"/>
      <c r="W81" s="610"/>
    </row>
    <row r="82" spans="1:23" ht="12" customHeight="1">
      <c r="A82" s="3" t="s">
        <v>20</v>
      </c>
      <c r="D82" s="41"/>
      <c r="E82" s="41"/>
      <c r="F82" s="661" t="str">
        <f>UPPER(Установка!C11)</f>
        <v>ЗЕЛИНГЕР М.М.</v>
      </c>
      <c r="G82" s="661"/>
      <c r="H82" s="661"/>
      <c r="I82" s="661"/>
      <c r="J82" s="661"/>
      <c r="K82" s="158"/>
      <c r="L82" s="21"/>
      <c r="M82" s="21"/>
      <c r="N82" s="23">
        <v>6</v>
      </c>
      <c r="O82" s="260">
        <f>IF(P82="","",6)</f>
        <v>6</v>
      </c>
      <c r="P82" s="567" t="str">
        <f>IF(OR(ПодгОТ!B13=0,ПодгОТ!P13="ОЖ",ПодгОТ!$C$50&lt;17),"",ПодгОТ!AA13)</f>
        <v>ФАДЕЕВ</v>
      </c>
      <c r="Q82" s="567"/>
      <c r="R82" s="567"/>
      <c r="S82" s="567"/>
      <c r="T82" s="568"/>
      <c r="U82" s="608">
        <f>IF(OR(ПодгОТ!B13=0,ПодгОТ!P13="ОЖ",ПодгОТ!$C$50&lt;17),"",ПодгОТ!B13)</f>
        <v>249</v>
      </c>
      <c r="V82" s="609"/>
      <c r="W82" s="610"/>
    </row>
    <row r="83" spans="4:23" ht="12" customHeight="1">
      <c r="D83" s="91" t="s">
        <v>42</v>
      </c>
      <c r="E83" s="91"/>
      <c r="F83" s="660" t="s">
        <v>43</v>
      </c>
      <c r="G83" s="660"/>
      <c r="H83" s="660"/>
      <c r="I83" s="660"/>
      <c r="J83" s="660"/>
      <c r="K83" s="159"/>
      <c r="L83" s="24"/>
      <c r="M83" s="24"/>
      <c r="N83" s="23">
        <v>7</v>
      </c>
      <c r="O83" s="260">
        <f>IF(P83="","",7)</f>
        <v>7</v>
      </c>
      <c r="P83" s="567" t="str">
        <f>IF(OR(ПодгОТ!B14=0,ПодгОТ!P14="ОЖ",ПодгОТ!$C$50&lt;17),"",ПодгОТ!AA14)</f>
        <v>СЕГУРА-ОНИЩЕНКО</v>
      </c>
      <c r="Q83" s="567"/>
      <c r="R83" s="567"/>
      <c r="S83" s="567"/>
      <c r="T83" s="568"/>
      <c r="U83" s="608">
        <f>IF(OR(ПодгОТ!B14=0,ПодгОТ!P14="ОЖ",ПодгОТ!$C$50&lt;17),"",ПодгОТ!B14)</f>
        <v>217</v>
      </c>
      <c r="V83" s="609"/>
      <c r="W83" s="610"/>
    </row>
    <row r="84" spans="1:23" ht="12" customHeight="1">
      <c r="A84" s="3" t="s">
        <v>21</v>
      </c>
      <c r="D84" s="41"/>
      <c r="E84" s="41"/>
      <c r="F84" s="661" t="str">
        <f>UPPER(Установка!C12)</f>
        <v>ГУТОВ К.Г.</v>
      </c>
      <c r="G84" s="661"/>
      <c r="H84" s="661"/>
      <c r="I84" s="661"/>
      <c r="J84" s="661"/>
      <c r="K84" s="158"/>
      <c r="L84" s="24"/>
      <c r="M84" s="24"/>
      <c r="N84" s="23">
        <v>8</v>
      </c>
      <c r="O84" s="260">
        <f>IF(P84="","",8)</f>
        <v>8</v>
      </c>
      <c r="P84" s="567" t="str">
        <f>IF(OR(ПодгОТ!B15=0,ПодгОТ!P15="ОЖ",ПодгОТ!$C$50&lt;17),"",ПодгОТ!AA15)</f>
        <v>АНТИПОВ</v>
      </c>
      <c r="Q84" s="567"/>
      <c r="R84" s="567"/>
      <c r="S84" s="567"/>
      <c r="T84" s="568"/>
      <c r="U84" s="608">
        <f>IF(OR(ПодгОТ!B15=0,ПодгОТ!P15="ОЖ",ПодгОТ!$C$50&lt;17),"",ПодгОТ!B15)</f>
        <v>201</v>
      </c>
      <c r="V84" s="609"/>
      <c r="W84" s="610"/>
    </row>
    <row r="85" spans="4:23" ht="12" customHeight="1">
      <c r="D85" s="91" t="s">
        <v>42</v>
      </c>
      <c r="E85" s="91"/>
      <c r="F85" s="660" t="s">
        <v>43</v>
      </c>
      <c r="G85" s="660"/>
      <c r="H85" s="660"/>
      <c r="I85" s="660"/>
      <c r="J85" s="660"/>
      <c r="K85" s="159"/>
      <c r="L85" s="21"/>
      <c r="M85" s="21"/>
      <c r="N85" s="21"/>
      <c r="O85" s="21"/>
      <c r="P85" s="33"/>
      <c r="Q85" s="33"/>
      <c r="R85" s="33"/>
      <c r="S85" s="33"/>
      <c r="T85" s="35"/>
      <c r="U85" s="35"/>
      <c r="V85" s="35"/>
      <c r="W85" s="33"/>
    </row>
    <row r="86" ht="12.75">
      <c r="K86" s="157"/>
    </row>
    <row r="87" ht="12.75">
      <c r="K87" s="157"/>
    </row>
    <row r="88" ht="12.75">
      <c r="K88" s="157"/>
    </row>
    <row r="89" ht="12.75">
      <c r="K89" s="157"/>
    </row>
    <row r="90" ht="12.75">
      <c r="K90" s="157"/>
    </row>
    <row r="91" ht="12.75">
      <c r="K91" s="157"/>
    </row>
    <row r="92" ht="12.75">
      <c r="K92" s="157"/>
    </row>
    <row r="93" ht="12.75">
      <c r="K93" s="157"/>
    </row>
    <row r="94" ht="12.75">
      <c r="K94" s="157"/>
    </row>
    <row r="95" ht="12.75">
      <c r="K95" s="157"/>
    </row>
    <row r="96" ht="12.75">
      <c r="K96" s="157"/>
    </row>
    <row r="100" ht="12.75" hidden="1">
      <c r="C100" s="510" t="b">
        <v>0</v>
      </c>
    </row>
  </sheetData>
  <sheetProtection sheet="1" objects="1" scenarios="1" selectLockedCells="1"/>
  <mergeCells count="503">
    <mergeCell ref="P39:R39"/>
    <mergeCell ref="F85:J85"/>
    <mergeCell ref="F82:J82"/>
    <mergeCell ref="F83:J83"/>
    <mergeCell ref="F84:J84"/>
    <mergeCell ref="L66:N66"/>
    <mergeCell ref="L73:N73"/>
    <mergeCell ref="L56:N56"/>
    <mergeCell ref="H58:J58"/>
    <mergeCell ref="K70:M71"/>
    <mergeCell ref="M5:R5"/>
    <mergeCell ref="I10:L10"/>
    <mergeCell ref="M9:P9"/>
    <mergeCell ref="M10:P10"/>
    <mergeCell ref="H5:L5"/>
    <mergeCell ref="H80:J80"/>
    <mergeCell ref="L48:N48"/>
    <mergeCell ref="H54:J54"/>
    <mergeCell ref="L74:N74"/>
    <mergeCell ref="L72:N72"/>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T39:W39"/>
    <mergeCell ref="F11:F12"/>
    <mergeCell ref="C11:C12"/>
    <mergeCell ref="E11:E12"/>
    <mergeCell ref="F27:F28"/>
    <mergeCell ref="E17:E18"/>
    <mergeCell ref="D13:D14"/>
    <mergeCell ref="F21:F22"/>
    <mergeCell ref="F15:F16"/>
    <mergeCell ref="D23:D24"/>
    <mergeCell ref="F25:F26"/>
    <mergeCell ref="B35:B36"/>
    <mergeCell ref="B37:B38"/>
    <mergeCell ref="H42:J42"/>
    <mergeCell ref="H43:J43"/>
    <mergeCell ref="F41:F42"/>
    <mergeCell ref="D41:D42"/>
    <mergeCell ref="D39:D40"/>
    <mergeCell ref="F43:F44"/>
    <mergeCell ref="C41:C42"/>
    <mergeCell ref="C43:C44"/>
    <mergeCell ref="D29:D30"/>
    <mergeCell ref="D33:D34"/>
    <mergeCell ref="F31:F32"/>
    <mergeCell ref="F35:F36"/>
    <mergeCell ref="F33:F34"/>
    <mergeCell ref="E29:E30"/>
    <mergeCell ref="E31:E32"/>
    <mergeCell ref="E33:E34"/>
    <mergeCell ref="E35:E36"/>
    <mergeCell ref="T36:W36"/>
    <mergeCell ref="T37:W37"/>
    <mergeCell ref="T38:W38"/>
    <mergeCell ref="T35:W35"/>
    <mergeCell ref="K38:M39"/>
    <mergeCell ref="G44:I45"/>
    <mergeCell ref="J44:J45"/>
    <mergeCell ref="P36:R36"/>
    <mergeCell ref="L43:N43"/>
    <mergeCell ref="L40:N40"/>
    <mergeCell ref="H39:J39"/>
    <mergeCell ref="P37:R37"/>
    <mergeCell ref="D59:D60"/>
    <mergeCell ref="P58:R58"/>
    <mergeCell ref="J52:J53"/>
    <mergeCell ref="T50:W50"/>
    <mergeCell ref="P53:R53"/>
    <mergeCell ref="T57:W57"/>
    <mergeCell ref="P55:R55"/>
    <mergeCell ref="F39:F40"/>
    <mergeCell ref="D63:D64"/>
    <mergeCell ref="D51:D52"/>
    <mergeCell ref="D27:D28"/>
    <mergeCell ref="D31:D32"/>
    <mergeCell ref="D53:D54"/>
    <mergeCell ref="D43:D44"/>
    <mergeCell ref="D37:D38"/>
    <mergeCell ref="D47:D48"/>
    <mergeCell ref="D55:D56"/>
    <mergeCell ref="D35:D36"/>
    <mergeCell ref="C73:C74"/>
    <mergeCell ref="C69:C70"/>
    <mergeCell ref="B71:B72"/>
    <mergeCell ref="D45:D46"/>
    <mergeCell ref="B63:B64"/>
    <mergeCell ref="B65:B66"/>
    <mergeCell ref="B67:B68"/>
    <mergeCell ref="D61:D62"/>
    <mergeCell ref="D65:D66"/>
    <mergeCell ref="C67:C68"/>
    <mergeCell ref="C49:C50"/>
    <mergeCell ref="C51:C52"/>
    <mergeCell ref="B73:B74"/>
    <mergeCell ref="D69:D70"/>
    <mergeCell ref="C61:C62"/>
    <mergeCell ref="C63:C64"/>
    <mergeCell ref="C65:C66"/>
    <mergeCell ref="B69:B70"/>
    <mergeCell ref="B61:B62"/>
    <mergeCell ref="C71:C72"/>
    <mergeCell ref="C59:C60"/>
    <mergeCell ref="B53:B54"/>
    <mergeCell ref="B55:B56"/>
    <mergeCell ref="B57:B58"/>
    <mergeCell ref="B59:B60"/>
    <mergeCell ref="C55:C56"/>
    <mergeCell ref="C53:C54"/>
    <mergeCell ref="B45:B46"/>
    <mergeCell ref="A45:A46"/>
    <mergeCell ref="A47:A48"/>
    <mergeCell ref="A49:A50"/>
    <mergeCell ref="A51:A52"/>
    <mergeCell ref="B47:B48"/>
    <mergeCell ref="B49:B50"/>
    <mergeCell ref="B51:B52"/>
    <mergeCell ref="B25:B26"/>
    <mergeCell ref="A69:A70"/>
    <mergeCell ref="A71:A72"/>
    <mergeCell ref="B27:B28"/>
    <mergeCell ref="B29:B30"/>
    <mergeCell ref="B31:B32"/>
    <mergeCell ref="B33:B34"/>
    <mergeCell ref="A65:A66"/>
    <mergeCell ref="A67:A68"/>
    <mergeCell ref="B39:B40"/>
    <mergeCell ref="A63:A64"/>
    <mergeCell ref="A57:A58"/>
    <mergeCell ref="A59:A60"/>
    <mergeCell ref="A73:A74"/>
    <mergeCell ref="B13:B14"/>
    <mergeCell ref="B15:B16"/>
    <mergeCell ref="B17:B18"/>
    <mergeCell ref="B19:B20"/>
    <mergeCell ref="B21:B22"/>
    <mergeCell ref="B23:B24"/>
    <mergeCell ref="A21:A22"/>
    <mergeCell ref="A23:A24"/>
    <mergeCell ref="A25:A26"/>
    <mergeCell ref="A27:A28"/>
    <mergeCell ref="A53:A54"/>
    <mergeCell ref="A55:A56"/>
    <mergeCell ref="A41:A42"/>
    <mergeCell ref="A43:A44"/>
    <mergeCell ref="P60:R60"/>
    <mergeCell ref="S58:W59"/>
    <mergeCell ref="T61:W61"/>
    <mergeCell ref="A29:A30"/>
    <mergeCell ref="A31:A32"/>
    <mergeCell ref="A33:A34"/>
    <mergeCell ref="A35:A36"/>
    <mergeCell ref="A61:A62"/>
    <mergeCell ref="B41:B42"/>
    <mergeCell ref="B43:B44"/>
    <mergeCell ref="T56:W56"/>
    <mergeCell ref="T54:W54"/>
    <mergeCell ref="P54:R54"/>
    <mergeCell ref="A37:A38"/>
    <mergeCell ref="A39:A40"/>
    <mergeCell ref="T62:W62"/>
    <mergeCell ref="P61:R61"/>
    <mergeCell ref="P62:R62"/>
    <mergeCell ref="P59:R59"/>
    <mergeCell ref="T60:W60"/>
    <mergeCell ref="H46:J46"/>
    <mergeCell ref="L45:N45"/>
    <mergeCell ref="L49:N49"/>
    <mergeCell ref="O50:Q51"/>
    <mergeCell ref="L50:N50"/>
    <mergeCell ref="P46:R46"/>
    <mergeCell ref="R50:R51"/>
    <mergeCell ref="L52:N52"/>
    <mergeCell ref="T52:W52"/>
    <mergeCell ref="T45:V45"/>
    <mergeCell ref="T48:W48"/>
    <mergeCell ref="T47:W47"/>
    <mergeCell ref="T68:W68"/>
    <mergeCell ref="E57:E58"/>
    <mergeCell ref="E59:E60"/>
    <mergeCell ref="H47:J47"/>
    <mergeCell ref="H50:J50"/>
    <mergeCell ref="J48:J49"/>
    <mergeCell ref="H55:J55"/>
    <mergeCell ref="H51:J51"/>
    <mergeCell ref="G48:I49"/>
    <mergeCell ref="F49:F50"/>
    <mergeCell ref="T67:W67"/>
    <mergeCell ref="D57:D58"/>
    <mergeCell ref="G52:I53"/>
    <mergeCell ref="T64:W64"/>
    <mergeCell ref="P65:R65"/>
    <mergeCell ref="P64:R64"/>
    <mergeCell ref="O66:Q67"/>
    <mergeCell ref="R66:R67"/>
    <mergeCell ref="F55:F56"/>
    <mergeCell ref="F59:F60"/>
    <mergeCell ref="T72:W72"/>
    <mergeCell ref="L69:N69"/>
    <mergeCell ref="T69:W69"/>
    <mergeCell ref="P70:R70"/>
    <mergeCell ref="T70:W70"/>
    <mergeCell ref="P72:R72"/>
    <mergeCell ref="T71:W71"/>
    <mergeCell ref="N70:N71"/>
    <mergeCell ref="P43:R43"/>
    <mergeCell ref="P45:R45"/>
    <mergeCell ref="T46:W46"/>
    <mergeCell ref="P52:R52"/>
    <mergeCell ref="T63:W63"/>
    <mergeCell ref="T51:W51"/>
    <mergeCell ref="P57:R57"/>
    <mergeCell ref="T55:W55"/>
    <mergeCell ref="P56:R56"/>
    <mergeCell ref="T49:W49"/>
    <mergeCell ref="T32:W32"/>
    <mergeCell ref="P42:R42"/>
    <mergeCell ref="P44:R44"/>
    <mergeCell ref="T41:W41"/>
    <mergeCell ref="P40:R40"/>
    <mergeCell ref="P41:R41"/>
    <mergeCell ref="P38:R38"/>
    <mergeCell ref="T43:W44"/>
    <mergeCell ref="T42:W42"/>
    <mergeCell ref="T40:W40"/>
    <mergeCell ref="T21:W21"/>
    <mergeCell ref="T30:W30"/>
    <mergeCell ref="T31:W31"/>
    <mergeCell ref="T22:W22"/>
    <mergeCell ref="T23:W23"/>
    <mergeCell ref="T24:W24"/>
    <mergeCell ref="T25:W25"/>
    <mergeCell ref="T29:W29"/>
    <mergeCell ref="S26:W27"/>
    <mergeCell ref="T15:W15"/>
    <mergeCell ref="T20:W20"/>
    <mergeCell ref="T19:W19"/>
    <mergeCell ref="T18:W18"/>
    <mergeCell ref="T17:W17"/>
    <mergeCell ref="T16:W16"/>
    <mergeCell ref="A15:A16"/>
    <mergeCell ref="A17:A18"/>
    <mergeCell ref="A19:A20"/>
    <mergeCell ref="T6:W6"/>
    <mergeCell ref="H6:J6"/>
    <mergeCell ref="L6:N6"/>
    <mergeCell ref="T12:W12"/>
    <mergeCell ref="U9:X10"/>
    <mergeCell ref="Q9:T9"/>
    <mergeCell ref="Q10:T10"/>
    <mergeCell ref="I9:L9"/>
    <mergeCell ref="P12:R12"/>
    <mergeCell ref="D17:D18"/>
    <mergeCell ref="D19:D20"/>
    <mergeCell ref="E19:E20"/>
    <mergeCell ref="F19:F20"/>
    <mergeCell ref="F13:F14"/>
    <mergeCell ref="F17:F18"/>
    <mergeCell ref="E13:E14"/>
    <mergeCell ref="E15:E16"/>
    <mergeCell ref="F23:F24"/>
    <mergeCell ref="E37:E38"/>
    <mergeCell ref="L27:N27"/>
    <mergeCell ref="P30:R30"/>
    <mergeCell ref="K30:M31"/>
    <mergeCell ref="N30:N31"/>
    <mergeCell ref="L36:N36"/>
    <mergeCell ref="P31:R31"/>
    <mergeCell ref="L32:N32"/>
    <mergeCell ref="L33:N33"/>
    <mergeCell ref="L26:N26"/>
    <mergeCell ref="P22:R22"/>
    <mergeCell ref="P23:R23"/>
    <mergeCell ref="P24:R24"/>
    <mergeCell ref="L24:N24"/>
    <mergeCell ref="L29:N29"/>
    <mergeCell ref="P25:R25"/>
    <mergeCell ref="P26:R26"/>
    <mergeCell ref="K22:M23"/>
    <mergeCell ref="P28:R28"/>
    <mergeCell ref="H18:J18"/>
    <mergeCell ref="H19:J19"/>
    <mergeCell ref="H14:J14"/>
    <mergeCell ref="H15:J15"/>
    <mergeCell ref="G16:I17"/>
    <mergeCell ref="J16:J17"/>
    <mergeCell ref="C19:C20"/>
    <mergeCell ref="C21:C22"/>
    <mergeCell ref="B11:B12"/>
    <mergeCell ref="C13:C14"/>
    <mergeCell ref="C15:C16"/>
    <mergeCell ref="A8:A10"/>
    <mergeCell ref="B8:B10"/>
    <mergeCell ref="A13:A14"/>
    <mergeCell ref="C17:C18"/>
    <mergeCell ref="A11:A12"/>
    <mergeCell ref="P16:R16"/>
    <mergeCell ref="P17:R17"/>
    <mergeCell ref="G12:I13"/>
    <mergeCell ref="J12:J13"/>
    <mergeCell ref="K14:M15"/>
    <mergeCell ref="N14:N15"/>
    <mergeCell ref="G20:I21"/>
    <mergeCell ref="J20:J21"/>
    <mergeCell ref="D15:D16"/>
    <mergeCell ref="L12:N12"/>
    <mergeCell ref="D11:D12"/>
    <mergeCell ref="T28:W28"/>
    <mergeCell ref="P20:R20"/>
    <mergeCell ref="P21:R21"/>
    <mergeCell ref="P13:R13"/>
    <mergeCell ref="P15:R15"/>
    <mergeCell ref="C29:C30"/>
    <mergeCell ref="C31:C32"/>
    <mergeCell ref="H23:J23"/>
    <mergeCell ref="G24:I25"/>
    <mergeCell ref="J24:J25"/>
    <mergeCell ref="T13:W13"/>
    <mergeCell ref="T14:W14"/>
    <mergeCell ref="P14:R14"/>
    <mergeCell ref="L13:N13"/>
    <mergeCell ref="H22:J22"/>
    <mergeCell ref="C33:C34"/>
    <mergeCell ref="C35:C36"/>
    <mergeCell ref="C37:C38"/>
    <mergeCell ref="C39:C40"/>
    <mergeCell ref="C23:C24"/>
    <mergeCell ref="E21:E22"/>
    <mergeCell ref="E23:E24"/>
    <mergeCell ref="D21:D22"/>
    <mergeCell ref="C25:C26"/>
    <mergeCell ref="C27:C28"/>
    <mergeCell ref="F69:F70"/>
    <mergeCell ref="F67:F68"/>
    <mergeCell ref="F53:F54"/>
    <mergeCell ref="F57:F58"/>
    <mergeCell ref="F61:F62"/>
    <mergeCell ref="C45:C46"/>
    <mergeCell ref="C47:C48"/>
    <mergeCell ref="F47:F48"/>
    <mergeCell ref="F51:F52"/>
    <mergeCell ref="C57:C58"/>
    <mergeCell ref="E55:E56"/>
    <mergeCell ref="E61:E62"/>
    <mergeCell ref="F73:F74"/>
    <mergeCell ref="D71:D72"/>
    <mergeCell ref="D73:D74"/>
    <mergeCell ref="E69:E70"/>
    <mergeCell ref="E71:E72"/>
    <mergeCell ref="E73:E74"/>
    <mergeCell ref="E63:E64"/>
    <mergeCell ref="F71:F72"/>
    <mergeCell ref="E65:E66"/>
    <mergeCell ref="E67:E68"/>
    <mergeCell ref="F65:F66"/>
    <mergeCell ref="F63:F64"/>
    <mergeCell ref="E25:E26"/>
    <mergeCell ref="E27:E28"/>
    <mergeCell ref="E41:E42"/>
    <mergeCell ref="E43:E44"/>
    <mergeCell ref="E39:E40"/>
    <mergeCell ref="E53:E54"/>
    <mergeCell ref="L21:N21"/>
    <mergeCell ref="L25:N25"/>
    <mergeCell ref="N22:N23"/>
    <mergeCell ref="L16:N16"/>
    <mergeCell ref="L17:N17"/>
    <mergeCell ref="L18:N18"/>
    <mergeCell ref="L20:N20"/>
    <mergeCell ref="L19:N19"/>
    <mergeCell ref="H26:J26"/>
    <mergeCell ref="H27:J27"/>
    <mergeCell ref="P68:R68"/>
    <mergeCell ref="P69:R69"/>
    <mergeCell ref="L28:N28"/>
    <mergeCell ref="P29:R29"/>
    <mergeCell ref="L37:N37"/>
    <mergeCell ref="L68:N68"/>
    <mergeCell ref="N38:N39"/>
    <mergeCell ref="L34:N34"/>
    <mergeCell ref="G36:I37"/>
    <mergeCell ref="J36:J37"/>
    <mergeCell ref="G40:I41"/>
    <mergeCell ref="J40:J41"/>
    <mergeCell ref="H38:J38"/>
    <mergeCell ref="T73:W73"/>
    <mergeCell ref="P71:R71"/>
    <mergeCell ref="T66:W66"/>
    <mergeCell ref="T65:W65"/>
    <mergeCell ref="P47:R47"/>
    <mergeCell ref="P73:R73"/>
    <mergeCell ref="K46:M47"/>
    <mergeCell ref="N46:N47"/>
    <mergeCell ref="L41:N41"/>
    <mergeCell ref="P48:R48"/>
    <mergeCell ref="L59:N59"/>
    <mergeCell ref="N54:N55"/>
    <mergeCell ref="L60:N60"/>
    <mergeCell ref="L67:N67"/>
    <mergeCell ref="L64:N64"/>
    <mergeCell ref="H74:J74"/>
    <mergeCell ref="H63:J63"/>
    <mergeCell ref="H66:J66"/>
    <mergeCell ref="H67:J67"/>
    <mergeCell ref="H70:J70"/>
    <mergeCell ref="G68:I69"/>
    <mergeCell ref="J68:J69"/>
    <mergeCell ref="G72:I73"/>
    <mergeCell ref="J72:J73"/>
    <mergeCell ref="H71:J71"/>
    <mergeCell ref="U84:W84"/>
    <mergeCell ref="U75:W76"/>
    <mergeCell ref="U77:W77"/>
    <mergeCell ref="U78:W78"/>
    <mergeCell ref="U79:W79"/>
    <mergeCell ref="U80:W80"/>
    <mergeCell ref="U81:W81"/>
    <mergeCell ref="U82:W82"/>
    <mergeCell ref="U83:W83"/>
    <mergeCell ref="P75:T76"/>
    <mergeCell ref="O75:O76"/>
    <mergeCell ref="P77:T77"/>
    <mergeCell ref="P78:T78"/>
    <mergeCell ref="N75:N76"/>
    <mergeCell ref="D78:F79"/>
    <mergeCell ref="L78:L79"/>
    <mergeCell ref="H76:J76"/>
    <mergeCell ref="H79:J79"/>
    <mergeCell ref="D1:T1"/>
    <mergeCell ref="D4:T4"/>
    <mergeCell ref="D7:T7"/>
    <mergeCell ref="C8:C10"/>
    <mergeCell ref="E6:F6"/>
    <mergeCell ref="P6:R6"/>
    <mergeCell ref="D8:E10"/>
    <mergeCell ref="D2:T2"/>
    <mergeCell ref="D3:T3"/>
    <mergeCell ref="T5:V5"/>
    <mergeCell ref="G28:I29"/>
    <mergeCell ref="J28:J29"/>
    <mergeCell ref="G32:I33"/>
    <mergeCell ref="J32:J33"/>
    <mergeCell ref="H30:J30"/>
    <mergeCell ref="H31:J31"/>
    <mergeCell ref="H34:J34"/>
    <mergeCell ref="H35:J35"/>
    <mergeCell ref="G64:I65"/>
    <mergeCell ref="J64:J65"/>
    <mergeCell ref="J56:J57"/>
    <mergeCell ref="G60:I61"/>
    <mergeCell ref="J60:J61"/>
    <mergeCell ref="H62:J62"/>
    <mergeCell ref="H59:J59"/>
    <mergeCell ref="G56:I57"/>
    <mergeCell ref="K62:M63"/>
    <mergeCell ref="N62:N63"/>
    <mergeCell ref="L58:N58"/>
    <mergeCell ref="L65:N65"/>
    <mergeCell ref="L61:N61"/>
    <mergeCell ref="L35:N35"/>
    <mergeCell ref="L57:N57"/>
    <mergeCell ref="K54:M55"/>
    <mergeCell ref="L53:N53"/>
    <mergeCell ref="L51:N51"/>
    <mergeCell ref="P63:R63"/>
    <mergeCell ref="T53:W53"/>
    <mergeCell ref="O18:Q19"/>
    <mergeCell ref="R18:R19"/>
    <mergeCell ref="O34:Q35"/>
    <mergeCell ref="R34:R35"/>
    <mergeCell ref="P33:R33"/>
    <mergeCell ref="P27:R27"/>
    <mergeCell ref="P32:R32"/>
    <mergeCell ref="P49:R49"/>
    <mergeCell ref="P83:T83"/>
    <mergeCell ref="P84:T84"/>
    <mergeCell ref="P79:T79"/>
    <mergeCell ref="P80:T80"/>
    <mergeCell ref="P81:T81"/>
    <mergeCell ref="P82:T82"/>
    <mergeCell ref="AE9:AE10"/>
    <mergeCell ref="AF9:AF10"/>
    <mergeCell ref="AB9:AB10"/>
    <mergeCell ref="AA9:AA10"/>
    <mergeCell ref="AC9:AC10"/>
    <mergeCell ref="AD9:AD10"/>
  </mergeCells>
  <conditionalFormatting sqref="E71 E13 E55 E45 E29 E39 E23 E61">
    <cfRule type="expression" priority="1" dxfId="52" stopIfTrue="1">
      <formula>COUNTIF($O$77:$T$84,D13)&gt;0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52" stopIfTrue="1">
      <formula>COUNTIF($O$77:$T$84,G12)&gt;0</formula>
    </cfRule>
  </conditionalFormatting>
  <conditionalFormatting sqref="A11 A13 A15 A17 A19 A21 A23 A25 A27 A29 A39 A31 A33 A35 A37 A43 A41 A55 A45 A47 A49 A51 A53 A57 A59 A69 A71 A61 A63 A65 A67 A73">
    <cfRule type="expression" priority="3" dxfId="52" stopIfTrue="1">
      <formula>COUNTIF($O$77:$T$84,$D11)&gt;0</formula>
    </cfRule>
  </conditionalFormatting>
  <conditionalFormatting sqref="D71 D13 D55 D45 D29 D39 D23 D61">
    <cfRule type="expression" priority="4" dxfId="52" stopIfTrue="1">
      <formula>COUNTIF($O$77:$T$84,D13)&gt;0</formula>
    </cfRule>
  </conditionalFormatting>
  <conditionalFormatting sqref="G14 G18 G22 G26 G30 G34 G38 G42 G46 G50 G54 G58 G62 G66 G70 G74 S28 K72 K64 K56 K48 K40 K32 K24 K16 O20 O36 O52 O68 S60 W45">
    <cfRule type="cellIs" priority="5" dxfId="53" operator="notEqual" stopIfTrue="1">
      <formula>0</formula>
    </cfRule>
  </conditionalFormatting>
  <conditionalFormatting sqref="C11:C74">
    <cfRule type="expression" priority="6" dxfId="54" stopIfTrue="1">
      <formula>AND(C11&lt;&gt;"Х",C11&lt;&gt;"х",COUNTIF($C$11:$C$74,C11)&gt;1)</formula>
    </cfRule>
  </conditionalFormatting>
  <conditionalFormatting sqref="G76:I76 J76:J78">
    <cfRule type="expression" priority="7" dxfId="55" stopIfTrue="1">
      <formula>$C$62=TRUE</formula>
    </cfRule>
  </conditionalFormatting>
  <conditionalFormatting sqref="D80:J80 H79:J79">
    <cfRule type="expression" priority="8" dxfId="55" stopIfTrue="1">
      <formula>$C$100=TRUE</formula>
    </cfRule>
  </conditionalFormatting>
  <conditionalFormatting sqref="G79">
    <cfRule type="expression" priority="9" dxfId="55" stopIfTrue="1">
      <formula>$C$100=TRUE</formula>
    </cfRule>
    <cfRule type="cellIs" priority="10" dxfId="23" operator="notEqual" stopIfTrue="1">
      <formula>0</formula>
    </cfRule>
  </conditionalFormatting>
  <conditionalFormatting sqref="L78:L79">
    <cfRule type="expression" priority="11" dxfId="5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52" stopIfTrue="1">
      <formula>COUNTIF($O$77:$T$84,G12)&gt;0</formula>
    </cfRule>
    <cfRule type="expression" priority="13" dxfId="57" stopIfTrue="1">
      <formula>LEFT(G12,4)="поб."</formula>
    </cfRule>
  </conditionalFormatting>
  <conditionalFormatting sqref="D76:F79">
    <cfRule type="expression" priority="14" dxfId="55" stopIfTrue="1">
      <formula>$C$100=TRUE</formula>
    </cfRule>
    <cfRule type="expression" priority="15" dxfId="57" stopIfTrue="1">
      <formula>LEFT(D76,3)="пр."</formula>
    </cfRule>
  </conditionalFormatting>
  <conditionalFormatting sqref="G77:I78">
    <cfRule type="expression" priority="16" dxfId="55" stopIfTrue="1">
      <formula>$C$100=TRUE</formula>
    </cfRule>
    <cfRule type="expression" priority="17" dxfId="57" stopIfTrue="1">
      <formula>LEFT(G77,4)="поб."</formula>
    </cfRule>
  </conditionalFormatting>
  <conditionalFormatting sqref="D11:E12 D15:E22 D25:E28 D31:E38 D41:E44 D47:E54 D57:E60 D63:E70 D73:E74">
    <cfRule type="expression" priority="18" dxfId="52"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1" r:id="rId3"/>
  <drawing r:id="rId2"/>
  <legacyDrawing r:id="rId1"/>
</worksheet>
</file>

<file path=xl/worksheets/sheet9.xml><?xml version="1.0" encoding="utf-8"?>
<worksheet xmlns="http://schemas.openxmlformats.org/spreadsheetml/2006/main" xmlns:r="http://schemas.openxmlformats.org/officeDocument/2006/relationships">
  <sheetPr codeName="Лист16">
    <pageSetUpPr fitToPage="1"/>
  </sheetPr>
  <dimension ref="A1:AF238"/>
  <sheetViews>
    <sheetView showGridLines="0" showRowColHeaders="0" zoomScale="85" zoomScaleNormal="85" zoomScalePageLayoutView="0" workbookViewId="0" topLeftCell="A1">
      <pane ySplit="6" topLeftCell="A7" activePane="bottomLeft" state="frozen"/>
      <selection pane="topLeft" activeCell="A5" sqref="A5:R5"/>
      <selection pane="bottomLeft" activeCell="B8" sqref="B8"/>
    </sheetView>
  </sheetViews>
  <sheetFormatPr defaultColWidth="9.00390625" defaultRowHeight="12.75"/>
  <cols>
    <col min="1" max="1" width="2.75390625" style="0" customWidth="1"/>
    <col min="2" max="2" width="8.75390625" style="0" customWidth="1"/>
    <col min="3" max="3" width="37.75390625" style="0" customWidth="1"/>
    <col min="4" max="4" width="13.625" style="0" customWidth="1"/>
    <col min="5" max="5" width="10.75390625" style="0" customWidth="1"/>
    <col min="6" max="6" width="15.75390625" style="44" customWidth="1"/>
    <col min="7" max="7" width="8.75390625" style="44" customWidth="1"/>
    <col min="8" max="8" width="10.875" style="241" customWidth="1"/>
    <col min="9" max="12" width="3.00390625" style="249" hidden="1" customWidth="1"/>
    <col min="13" max="13" width="3.375" style="249" hidden="1" customWidth="1"/>
    <col min="14" max="14" width="10.25390625" style="249" hidden="1" customWidth="1"/>
    <col min="15" max="15" width="5.25390625" style="249" hidden="1" customWidth="1"/>
    <col min="16" max="16" width="21.25390625" style="250" hidden="1" customWidth="1"/>
    <col min="17" max="17" width="8.375" style="249" hidden="1" customWidth="1"/>
    <col min="18" max="18" width="9.125" style="249" hidden="1" customWidth="1"/>
    <col min="19" max="19" width="18.875" style="249" hidden="1" customWidth="1"/>
    <col min="20" max="26" width="9.125" style="0" hidden="1" customWidth="1"/>
    <col min="27" max="27" width="27.125" style="370" hidden="1" customWidth="1"/>
    <col min="28" max="28" width="8.00390625" style="370" hidden="1" customWidth="1"/>
    <col min="29" max="29" width="25.875" style="370" hidden="1" customWidth="1"/>
    <col min="30" max="30" width="9.00390625" style="370" hidden="1" customWidth="1"/>
    <col min="31" max="31" width="31.00390625" style="370" hidden="1" customWidth="1"/>
    <col min="32" max="32" width="6.125" style="370" hidden="1" customWidth="1"/>
  </cols>
  <sheetData>
    <row r="1" spans="2:6" ht="12.75">
      <c r="B1" s="543" t="s">
        <v>150</v>
      </c>
      <c r="C1" s="543"/>
      <c r="D1" s="543"/>
      <c r="E1" s="543"/>
      <c r="F1" s="543"/>
    </row>
    <row r="2" spans="2:6" ht="28.5" customHeight="1">
      <c r="B2" s="544" t="str">
        <f>UPPER(Установка!C3)</f>
        <v>"КУБОК ЮЖНОГО УРАЛА"</v>
      </c>
      <c r="C2" s="544"/>
      <c r="D2" s="544"/>
      <c r="E2" s="544"/>
      <c r="F2" s="544"/>
    </row>
    <row r="3" spans="2:6" ht="12.75">
      <c r="B3" s="545" t="s">
        <v>3</v>
      </c>
      <c r="C3" s="545"/>
      <c r="D3" s="545"/>
      <c r="E3" s="545"/>
      <c r="F3" s="545"/>
    </row>
    <row r="4" spans="3:8" ht="20.25">
      <c r="C4" s="60" t="s">
        <v>1</v>
      </c>
      <c r="D4" s="671" t="str">
        <f>UPPER(Установка!C4)</f>
        <v>ДО 15 ЛЕТ</v>
      </c>
      <c r="E4" s="671"/>
      <c r="F4" s="671"/>
      <c r="G4" s="674" t="str">
        <f>IF(Установка!C5="","Ю/Д/М/Ж",UPPER(Установка!C5))</f>
        <v>ЮНОШИ</v>
      </c>
      <c r="H4" s="674"/>
    </row>
    <row r="5" spans="3:8" ht="27.75" customHeight="1">
      <c r="C5" s="60"/>
      <c r="D5" s="2"/>
      <c r="E5" s="2"/>
      <c r="F5" s="2"/>
      <c r="G5" s="46"/>
      <c r="H5" s="239"/>
    </row>
    <row r="6" spans="1:31" ht="42" customHeight="1">
      <c r="A6" s="398" t="s">
        <v>17</v>
      </c>
      <c r="B6" s="398" t="s">
        <v>47</v>
      </c>
      <c r="C6" s="398" t="s">
        <v>44</v>
      </c>
      <c r="D6" s="398" t="s">
        <v>36</v>
      </c>
      <c r="E6" s="398" t="s">
        <v>46</v>
      </c>
      <c r="F6" s="398" t="s">
        <v>28</v>
      </c>
      <c r="G6" s="398" t="s">
        <v>42</v>
      </c>
      <c r="H6" s="240"/>
      <c r="P6" s="251">
        <v>1</v>
      </c>
      <c r="AA6" s="370" t="s">
        <v>157</v>
      </c>
      <c r="AC6" s="370" t="s">
        <v>158</v>
      </c>
      <c r="AE6" s="370" t="s">
        <v>159</v>
      </c>
    </row>
    <row r="7" spans="1:32" ht="37.5" customHeight="1">
      <c r="A7" s="672" t="s">
        <v>123</v>
      </c>
      <c r="B7" s="672"/>
      <c r="C7" s="672"/>
      <c r="D7" s="672"/>
      <c r="E7" s="672"/>
      <c r="F7" s="672"/>
      <c r="G7" s="672"/>
      <c r="AA7" s="515" t="b">
        <v>0</v>
      </c>
      <c r="AB7" s="516"/>
      <c r="AC7" s="515" t="b">
        <v>1</v>
      </c>
      <c r="AD7" s="516"/>
      <c r="AE7" s="515" t="b">
        <v>1</v>
      </c>
      <c r="AF7" s="516"/>
    </row>
    <row r="8" spans="1:32" s="164" customFormat="1" ht="21" customHeight="1">
      <c r="A8" s="399">
        <f aca="true" t="shared" si="0" ref="A8:A23">ROW()-7</f>
        <v>1</v>
      </c>
      <c r="B8" s="394">
        <v>12</v>
      </c>
      <c r="C8" s="395" t="s">
        <v>192</v>
      </c>
      <c r="D8" s="394">
        <v>34911</v>
      </c>
      <c r="E8" s="396">
        <v>38614</v>
      </c>
      <c r="F8" s="397" t="s">
        <v>176</v>
      </c>
      <c r="G8" s="397"/>
      <c r="H8" s="242"/>
      <c r="I8" s="252">
        <f aca="true" t="shared" si="1" ref="I8:I37">LEN(C8)</f>
        <v>23</v>
      </c>
      <c r="J8" s="252">
        <f aca="true" t="shared" si="2" ref="J8:J37">IF((I8)=0,0,FIND(" ",C8))</f>
        <v>8</v>
      </c>
      <c r="K8" s="252" t="str">
        <f>IF(OR(ISERR(J8),I8=0),"",CONCATENATE(UPPER(MID(C8,J8+1,1)),"."))</f>
        <v>Н.</v>
      </c>
      <c r="L8" s="252">
        <f aca="true" t="shared" si="3" ref="L8:L37">IF(LEN(C8)=0,0,FIND(" ",C8,J8+1))</f>
        <v>15</v>
      </c>
      <c r="M8" s="252" t="str">
        <f aca="true" t="shared" si="4" ref="M8:M37">IF(OR(I8=0,ISERR(L8)),"",CONCATENATE(MID(C8,L8+1,1),"."))</f>
        <v>О.</v>
      </c>
      <c r="N8" s="252" t="str">
        <f aca="true" t="shared" si="5" ref="N8:N37">IF(C8="","",IF(ISERR(J8),UPPER(C8),UPPER(MID(C8,1,J8-1))))</f>
        <v>ПОТАПОВ</v>
      </c>
      <c r="O8" s="252" t="str">
        <f aca="true" t="shared" si="6" ref="O8:O37">CONCATENATE(K8,M8)</f>
        <v>Н.О.</v>
      </c>
      <c r="P8" s="253" t="str">
        <f>IF(N8="","",N8)</f>
        <v>ПОТАПОВ</v>
      </c>
      <c r="Q8" s="252" t="str">
        <f>IF(LEN(C8)&lt;2,"",IF(ISERR(J8),"",IF(ISERR(L8),UPPER(MID(C8,J8,I8-J8+1)),UPPER(MID(C8,J8,L8-J8)))))</f>
        <v> НИКИТА</v>
      </c>
      <c r="R8" s="433">
        <f>IF(N8="",0,COUNTIF(ПодгОТ!$N$8:$N$31,N8))</f>
        <v>1</v>
      </c>
      <c r="S8" s="252" t="str">
        <f aca="true" t="shared" si="7" ref="S8:S23">IF(R8&gt;1,CONCATENATE(N8,Q8),N8)</f>
        <v>ПОТАПОВ</v>
      </c>
      <c r="AA8" s="662" t="str">
        <f>IF(ОТ!G18=0,CONCATENATE("пр.",ОТ!D15,"/",ОТ!D17),IF(ОТ!G18=1,ОТ!D17,IF(ОТ!G18=2,ОТ!D15,"Х")))</f>
        <v>Х</v>
      </c>
      <c r="AB8" s="664">
        <f>IF(ОТ!G18=0,"",IF(ОТ!G18=1,ОТ!E17,IF(ОТ!G18=2,ОТ!E15,"")))</f>
      </c>
      <c r="AC8" s="662" t="str">
        <f>IF(ОТ!K16=0,CONCATENATE("пр.",ОТ!G12,"/",ОТ!G16),IF(ОТ!K16=1,ОТ!G16,IF(ОТ!K16=2,ОТ!G12,"Х")))</f>
        <v>ЕРМАКОВ</v>
      </c>
      <c r="AD8" s="666" t="str">
        <f>IF(ОТ!K16=0,"",IF(ОТ!K16=1,ОТ!J16,IF(ОТ!K16=2,ОТ!J12,"")))</f>
        <v>А.М.</v>
      </c>
      <c r="AE8" s="668" t="str">
        <f>IF(ОТ!O20=0,CONCATENATE("пр.",ОТ!K14,"/",ОТ!K22),IF(ОТ!O20=1,ОТ!K22,IF(ОТ!O20=2,ОТ!K14,"Х")))</f>
        <v>АНТИПОВ</v>
      </c>
      <c r="AF8" s="669" t="str">
        <f>IF(ОТ!O20=0,"",IF(ОТ!O20=1,ОТ!N22,IF(ОТ!O20=2,ОТ!N14,"")))</f>
        <v>И.П.</v>
      </c>
    </row>
    <row r="9" spans="1:32" s="164" customFormat="1" ht="21" customHeight="1">
      <c r="A9" s="399">
        <f t="shared" si="0"/>
        <v>2</v>
      </c>
      <c r="B9" s="394"/>
      <c r="C9" s="395" t="s">
        <v>48</v>
      </c>
      <c r="D9" s="394"/>
      <c r="E9" s="396"/>
      <c r="F9" s="397"/>
      <c r="G9" s="397"/>
      <c r="H9" s="242"/>
      <c r="I9" s="252">
        <f t="shared" si="1"/>
        <v>1</v>
      </c>
      <c r="J9" s="252" t="e">
        <f t="shared" si="2"/>
        <v>#VALUE!</v>
      </c>
      <c r="K9" s="252">
        <f aca="true" t="shared" si="8" ref="K9:K37">IF(OR(ISERR(J9),I9=0),"",CONCATENATE(UPPER(MID(C9,J9+1,1)),"."))</f>
      </c>
      <c r="L9" s="252" t="e">
        <f t="shared" si="3"/>
        <v>#VALUE!</v>
      </c>
      <c r="M9" s="252">
        <f t="shared" si="4"/>
      </c>
      <c r="N9" s="252" t="str">
        <f t="shared" si="5"/>
        <v>Х</v>
      </c>
      <c r="O9" s="252">
        <f t="shared" si="6"/>
      </c>
      <c r="P9" s="253" t="str">
        <f aca="true" t="shared" si="9" ref="P9:P37">IF(N9="","",N9)</f>
        <v>Х</v>
      </c>
      <c r="Q9" s="252">
        <f aca="true" t="shared" si="10" ref="Q9:Q37">IF(LEN(C9)&lt;2,"",IF(ISERR(J9),"",IF(ISERR(L9),UPPER(MID(C9,J9,I9-J9+1)),UPPER(MID(C9,J9,L9-J9)))))</f>
      </c>
      <c r="R9" s="433">
        <f>IF(N9="",0,COUNTIF(ПодгОТ!$N$8:$N$31,N9))</f>
        <v>0</v>
      </c>
      <c r="S9" s="252" t="str">
        <f t="shared" si="7"/>
        <v>Х</v>
      </c>
      <c r="AA9" s="662"/>
      <c r="AB9" s="664"/>
      <c r="AC9" s="662"/>
      <c r="AD9" s="666"/>
      <c r="AE9" s="662"/>
      <c r="AF9" s="664"/>
    </row>
    <row r="10" spans="1:32" s="164" customFormat="1" ht="21" customHeight="1">
      <c r="A10" s="399">
        <f t="shared" si="0"/>
        <v>3</v>
      </c>
      <c r="B10" s="394"/>
      <c r="C10" s="395" t="s">
        <v>48</v>
      </c>
      <c r="D10" s="394"/>
      <c r="E10" s="396"/>
      <c r="F10" s="397"/>
      <c r="G10" s="397"/>
      <c r="H10" s="242"/>
      <c r="I10" s="252">
        <f t="shared" si="1"/>
        <v>1</v>
      </c>
      <c r="J10" s="252" t="e">
        <f t="shared" si="2"/>
        <v>#VALUE!</v>
      </c>
      <c r="K10" s="252">
        <f t="shared" si="8"/>
      </c>
      <c r="L10" s="252" t="e">
        <f t="shared" si="3"/>
        <v>#VALUE!</v>
      </c>
      <c r="M10" s="252">
        <f t="shared" si="4"/>
      </c>
      <c r="N10" s="252" t="str">
        <f t="shared" si="5"/>
        <v>Х</v>
      </c>
      <c r="O10" s="252">
        <f t="shared" si="6"/>
      </c>
      <c r="P10" s="253" t="str">
        <f t="shared" si="9"/>
        <v>Х</v>
      </c>
      <c r="Q10" s="252">
        <f t="shared" si="10"/>
      </c>
      <c r="R10" s="433">
        <f>IF(N10="",0,COUNTIF(ПодгОТ!$N$8:$N$31,N10))</f>
        <v>0</v>
      </c>
      <c r="S10" s="252" t="str">
        <f t="shared" si="7"/>
        <v>Х</v>
      </c>
      <c r="AA10" s="662"/>
      <c r="AB10" s="664"/>
      <c r="AC10" s="252"/>
      <c r="AD10" s="252"/>
      <c r="AE10" s="518"/>
      <c r="AF10" s="519"/>
    </row>
    <row r="11" spans="1:32" s="164" customFormat="1" ht="21" customHeight="1">
      <c r="A11" s="399">
        <f t="shared" si="0"/>
        <v>4</v>
      </c>
      <c r="B11" s="394"/>
      <c r="C11" s="395" t="s">
        <v>156</v>
      </c>
      <c r="D11" s="394"/>
      <c r="E11" s="396"/>
      <c r="F11" s="397"/>
      <c r="G11" s="397"/>
      <c r="H11" s="242"/>
      <c r="I11" s="252">
        <f>LEN(C11)</f>
        <v>1</v>
      </c>
      <c r="J11" s="252" t="e">
        <f>IF((I11)=0,0,FIND(" ",C11))</f>
        <v>#VALUE!</v>
      </c>
      <c r="K11" s="252">
        <f t="shared" si="8"/>
      </c>
      <c r="L11" s="252" t="e">
        <f>IF(LEN(C11)=0,0,FIND(" ",C11,J11+1))</f>
        <v>#VALUE!</v>
      </c>
      <c r="M11" s="252">
        <f>IF(OR(I11=0,ISERR(L11)),"",CONCATENATE(MID(C11,L11+1,1),"."))</f>
      </c>
      <c r="N11" s="252" t="str">
        <f>IF(C11="","",IF(ISERR(J11),UPPER(C11),UPPER(MID(C11,1,J11-1))))</f>
        <v>Х</v>
      </c>
      <c r="O11" s="252">
        <f>CONCATENATE(K11,M11)</f>
      </c>
      <c r="P11" s="253" t="str">
        <f t="shared" si="9"/>
        <v>Х</v>
      </c>
      <c r="Q11" s="252">
        <f t="shared" si="10"/>
      </c>
      <c r="R11" s="433">
        <f>IF(N11="",0,COUNTIF(ПодгОТ!$N$8:$N$31,N11))</f>
        <v>0</v>
      </c>
      <c r="S11" s="252" t="str">
        <f t="shared" si="7"/>
        <v>Х</v>
      </c>
      <c r="AA11" s="662"/>
      <c r="AB11" s="664"/>
      <c r="AC11" s="252"/>
      <c r="AD11" s="252"/>
      <c r="AE11" s="518"/>
      <c r="AF11" s="519"/>
    </row>
    <row r="12" spans="1:32" s="164" customFormat="1" ht="21" customHeight="1">
      <c r="A12" s="399">
        <f t="shared" si="0"/>
        <v>5</v>
      </c>
      <c r="B12" s="394"/>
      <c r="C12" s="395" t="s">
        <v>156</v>
      </c>
      <c r="D12" s="394"/>
      <c r="E12" s="396"/>
      <c r="F12" s="397"/>
      <c r="G12" s="397"/>
      <c r="H12" s="242"/>
      <c r="I12" s="252">
        <f t="shared" si="1"/>
        <v>1</v>
      </c>
      <c r="J12" s="252" t="e">
        <f t="shared" si="2"/>
        <v>#VALUE!</v>
      </c>
      <c r="K12" s="252">
        <f t="shared" si="8"/>
      </c>
      <c r="L12" s="252" t="e">
        <f t="shared" si="3"/>
        <v>#VALUE!</v>
      </c>
      <c r="M12" s="252">
        <f t="shared" si="4"/>
      </c>
      <c r="N12" s="252" t="str">
        <f t="shared" si="5"/>
        <v>Х</v>
      </c>
      <c r="O12" s="252">
        <f t="shared" si="6"/>
      </c>
      <c r="P12" s="253" t="str">
        <f t="shared" si="9"/>
        <v>Х</v>
      </c>
      <c r="Q12" s="252">
        <f t="shared" si="10"/>
      </c>
      <c r="R12" s="433">
        <f>IF(N12="",0,COUNTIF(ПодгОТ!$N$8:$N$31,N12))</f>
        <v>0</v>
      </c>
      <c r="S12" s="252" t="str">
        <f t="shared" si="7"/>
        <v>Х</v>
      </c>
      <c r="AA12" s="662"/>
      <c r="AB12" s="664"/>
      <c r="AC12" s="662" t="str">
        <f>IF(ОТ!K24=0,CONCATENATE("пр.",ОТ!G20,"/",ОТ!G24),IF(ОТ!K24=1,ОТ!G24,IF(ОТ!K24=2,ОТ!G20,"Х")))</f>
        <v>ЮРКОВ</v>
      </c>
      <c r="AD12" s="666" t="str">
        <f>IF(ОТ!K24=0,"",IF(ОТ!K24=1,ОТ!J24,IF(ОТ!K24=2,ОТ!J20,"")))</f>
        <v>Д.И.</v>
      </c>
      <c r="AE12" s="662" t="str">
        <f>IF(ОТ!O36=0,CONCATENATE("пр.",ОТ!K30,"/",ОТ!K38),IF(ОТ!O36=1,ОТ!K38,IF(ОТ!O36=2,ОТ!K30,"Х")))</f>
        <v>СЕГУРА-ОНИЩЕНКО</v>
      </c>
      <c r="AF12" s="664" t="str">
        <f>IF(ОТ!O36=0,"",IF(ОТ!O36=1,ОТ!N38,IF(ОТ!O36=2,ОТ!N30,"")))</f>
        <v>А.</v>
      </c>
    </row>
    <row r="13" spans="1:32" s="164" customFormat="1" ht="21" customHeight="1">
      <c r="A13" s="399">
        <f t="shared" si="0"/>
        <v>6</v>
      </c>
      <c r="B13" s="394"/>
      <c r="C13" s="395" t="s">
        <v>48</v>
      </c>
      <c r="D13" s="394"/>
      <c r="E13" s="396"/>
      <c r="F13" s="397"/>
      <c r="G13" s="397"/>
      <c r="H13" s="242"/>
      <c r="I13" s="252">
        <f t="shared" si="1"/>
        <v>1</v>
      </c>
      <c r="J13" s="252" t="e">
        <f t="shared" si="2"/>
        <v>#VALUE!</v>
      </c>
      <c r="K13" s="252">
        <f t="shared" si="8"/>
      </c>
      <c r="L13" s="252" t="e">
        <f t="shared" si="3"/>
        <v>#VALUE!</v>
      </c>
      <c r="M13" s="252">
        <f t="shared" si="4"/>
      </c>
      <c r="N13" s="252" t="str">
        <f t="shared" si="5"/>
        <v>Х</v>
      </c>
      <c r="O13" s="252">
        <f t="shared" si="6"/>
      </c>
      <c r="P13" s="253" t="str">
        <f t="shared" si="9"/>
        <v>Х</v>
      </c>
      <c r="Q13" s="252">
        <f t="shared" si="10"/>
      </c>
      <c r="R13" s="433">
        <f>IF(N13="",0,COUNTIF(ПодгОТ!$N$8:$N$31,N13))</f>
        <v>0</v>
      </c>
      <c r="S13" s="252" t="str">
        <f t="shared" si="7"/>
        <v>Х</v>
      </c>
      <c r="AA13" s="662"/>
      <c r="AB13" s="664"/>
      <c r="AC13" s="662"/>
      <c r="AD13" s="666"/>
      <c r="AE13" s="662"/>
      <c r="AF13" s="664"/>
    </row>
    <row r="14" spans="1:32" s="164" customFormat="1" ht="21" customHeight="1">
      <c r="A14" s="399">
        <f t="shared" si="0"/>
        <v>7</v>
      </c>
      <c r="B14" s="394"/>
      <c r="C14" s="395" t="s">
        <v>48</v>
      </c>
      <c r="D14" s="394"/>
      <c r="E14" s="396"/>
      <c r="F14" s="397"/>
      <c r="G14" s="397"/>
      <c r="H14" s="242"/>
      <c r="I14" s="252">
        <f t="shared" si="1"/>
        <v>1</v>
      </c>
      <c r="J14" s="252" t="e">
        <f t="shared" si="2"/>
        <v>#VALUE!</v>
      </c>
      <c r="K14" s="252">
        <f t="shared" si="8"/>
      </c>
      <c r="L14" s="252" t="e">
        <f t="shared" si="3"/>
        <v>#VALUE!</v>
      </c>
      <c r="M14" s="252">
        <f t="shared" si="4"/>
      </c>
      <c r="N14" s="252" t="str">
        <f t="shared" si="5"/>
        <v>Х</v>
      </c>
      <c r="O14" s="252">
        <f t="shared" si="6"/>
      </c>
      <c r="P14" s="253" t="str">
        <f t="shared" si="9"/>
        <v>Х</v>
      </c>
      <c r="Q14" s="252">
        <f t="shared" si="10"/>
      </c>
      <c r="R14" s="433">
        <f>IF(N14="",0,COUNTIF(ПодгОТ!$N$8:$N$31,N14))</f>
        <v>0</v>
      </c>
      <c r="S14" s="252" t="str">
        <f t="shared" si="7"/>
        <v>Х</v>
      </c>
      <c r="AA14" s="662" t="str">
        <f>IF(ОТ!G22=0,CONCATENATE("пр.",ОТ!D19,"/",ОТ!D21),IF(ОТ!G22=1,ОТ!D21,IF(ОТ!G22=2,ОТ!D19,"Х")))</f>
        <v>Х</v>
      </c>
      <c r="AB14" s="664">
        <f>IF(ОТ!G22=0,"",IF(ОТ!G22=1,ОТ!E21,IF(ОТ!G22=2,ОТ!E19,"")))</f>
      </c>
      <c r="AC14" s="252"/>
      <c r="AD14" s="252"/>
      <c r="AE14" s="518"/>
      <c r="AF14" s="519"/>
    </row>
    <row r="15" spans="1:32" s="164" customFormat="1" ht="21" customHeight="1">
      <c r="A15" s="399">
        <f t="shared" si="0"/>
        <v>8</v>
      </c>
      <c r="B15" s="394"/>
      <c r="C15" s="395" t="s">
        <v>156</v>
      </c>
      <c r="D15" s="394"/>
      <c r="E15" s="396"/>
      <c r="F15" s="397"/>
      <c r="G15" s="397"/>
      <c r="H15" s="242"/>
      <c r="I15" s="252">
        <f t="shared" si="1"/>
        <v>1</v>
      </c>
      <c r="J15" s="252" t="e">
        <f t="shared" si="2"/>
        <v>#VALUE!</v>
      </c>
      <c r="K15" s="252">
        <f t="shared" si="8"/>
      </c>
      <c r="L15" s="252" t="e">
        <f t="shared" si="3"/>
        <v>#VALUE!</v>
      </c>
      <c r="M15" s="252">
        <f t="shared" si="4"/>
      </c>
      <c r="N15" s="252" t="str">
        <f t="shared" si="5"/>
        <v>Х</v>
      </c>
      <c r="O15" s="252">
        <f t="shared" si="6"/>
      </c>
      <c r="P15" s="253" t="str">
        <f t="shared" si="9"/>
        <v>Х</v>
      </c>
      <c r="Q15" s="252">
        <f t="shared" si="10"/>
      </c>
      <c r="R15" s="433">
        <f>IF(N15="",0,COUNTIF(ПодгОТ!$N$8:$N$31,N15))</f>
        <v>0</v>
      </c>
      <c r="S15" s="252" t="str">
        <f t="shared" si="7"/>
        <v>Х</v>
      </c>
      <c r="AA15" s="662"/>
      <c r="AB15" s="664"/>
      <c r="AC15" s="252"/>
      <c r="AD15" s="252"/>
      <c r="AE15" s="518"/>
      <c r="AF15" s="519"/>
    </row>
    <row r="16" spans="1:32" s="164" customFormat="1" ht="21" customHeight="1">
      <c r="A16" s="399">
        <f t="shared" si="0"/>
        <v>9</v>
      </c>
      <c r="B16" s="394"/>
      <c r="C16" s="395" t="s">
        <v>156</v>
      </c>
      <c r="D16" s="394"/>
      <c r="E16" s="396"/>
      <c r="F16" s="397"/>
      <c r="G16" s="397"/>
      <c r="H16" s="242"/>
      <c r="I16" s="252">
        <f t="shared" si="1"/>
        <v>1</v>
      </c>
      <c r="J16" s="252" t="e">
        <f t="shared" si="2"/>
        <v>#VALUE!</v>
      </c>
      <c r="K16" s="252">
        <f t="shared" si="8"/>
      </c>
      <c r="L16" s="252" t="e">
        <f t="shared" si="3"/>
        <v>#VALUE!</v>
      </c>
      <c r="M16" s="252">
        <f t="shared" si="4"/>
      </c>
      <c r="N16" s="252" t="str">
        <f t="shared" si="5"/>
        <v>Х</v>
      </c>
      <c r="O16" s="252">
        <f t="shared" si="6"/>
      </c>
      <c r="P16" s="253" t="str">
        <f t="shared" si="9"/>
        <v>Х</v>
      </c>
      <c r="Q16" s="252">
        <f t="shared" si="10"/>
      </c>
      <c r="R16" s="433">
        <f>IF(N16="",0,COUNTIF(ПодгОТ!$N$8:$N$31,N16))</f>
        <v>0</v>
      </c>
      <c r="S16" s="252" t="str">
        <f t="shared" si="7"/>
        <v>Х</v>
      </c>
      <c r="AA16" s="662" t="str">
        <f>IF(ОТ!G34=0,CONCATENATE("пр.",ОТ!D31,"/",ОТ!D33),IF(ОТ!G34=1,ОТ!D33,IF(ОТ!G34=2,ОТ!D31,"Х")))</f>
        <v>Х</v>
      </c>
      <c r="AB16" s="664">
        <f>IF(ОТ!G34=0,"",IF(ОТ!G34=1,ОТ!E33,IF(ОТ!G34=2,ОТ!E31,"")))</f>
      </c>
      <c r="AC16" s="662" t="str">
        <f>IF(ОТ!K32=0,CONCATENATE("пр.",ОТ!G28,"/",ОТ!G32),IF(ОТ!K32=1,ОТ!G32,IF(ОТ!K32=2,ОТ!G28,"Х")))</f>
        <v>БОРОХОВ</v>
      </c>
      <c r="AD16" s="666" t="str">
        <f>IF(ОТ!K32=0,"",IF(ОТ!K32=1,ОТ!J32,IF(ОТ!K32=2,ОТ!J28,"")))</f>
        <v>С.О.</v>
      </c>
      <c r="AE16" s="662" t="str">
        <f>IF(ОТ!O52=0,CONCATENATE("пр.",ОТ!K46,"/",ОТ!K54),IF(ОТ!O52=1,ОТ!K54,IF(ОТ!O52=2,ОТ!K46,"Х")))</f>
        <v>ФАДЕЕВ</v>
      </c>
      <c r="AF16" s="664" t="str">
        <f>IF(ОТ!O52=0,"",IF(ОТ!O52=1,ОТ!N54,IF(ОТ!O52=2,ОТ!N46,"")))</f>
        <v>П.Е.</v>
      </c>
    </row>
    <row r="17" spans="1:32" s="164" customFormat="1" ht="21" customHeight="1">
      <c r="A17" s="399">
        <f t="shared" si="0"/>
        <v>10</v>
      </c>
      <c r="B17" s="394"/>
      <c r="C17" s="395" t="s">
        <v>48</v>
      </c>
      <c r="D17" s="394"/>
      <c r="E17" s="396"/>
      <c r="F17" s="397"/>
      <c r="G17" s="397"/>
      <c r="H17" s="242"/>
      <c r="I17" s="252">
        <f t="shared" si="1"/>
        <v>1</v>
      </c>
      <c r="J17" s="252" t="e">
        <f t="shared" si="2"/>
        <v>#VALUE!</v>
      </c>
      <c r="K17" s="252">
        <f t="shared" si="8"/>
      </c>
      <c r="L17" s="252" t="e">
        <f t="shared" si="3"/>
        <v>#VALUE!</v>
      </c>
      <c r="M17" s="252">
        <f t="shared" si="4"/>
      </c>
      <c r="N17" s="252" t="str">
        <f t="shared" si="5"/>
        <v>Х</v>
      </c>
      <c r="O17" s="252">
        <f t="shared" si="6"/>
      </c>
      <c r="P17" s="253" t="str">
        <f t="shared" si="9"/>
        <v>Х</v>
      </c>
      <c r="Q17" s="252">
        <f t="shared" si="10"/>
      </c>
      <c r="R17" s="433">
        <f>IF(N17="",0,COUNTIF(ПодгОТ!$N$8:$N$31,N17))</f>
        <v>0</v>
      </c>
      <c r="S17" s="252" t="str">
        <f t="shared" si="7"/>
        <v>Х</v>
      </c>
      <c r="AA17" s="662"/>
      <c r="AB17" s="664"/>
      <c r="AC17" s="662"/>
      <c r="AD17" s="666"/>
      <c r="AE17" s="662"/>
      <c r="AF17" s="664"/>
    </row>
    <row r="18" spans="1:32" s="164" customFormat="1" ht="21" customHeight="1">
      <c r="A18" s="399">
        <f t="shared" si="0"/>
        <v>11</v>
      </c>
      <c r="B18" s="394"/>
      <c r="C18" s="395" t="s">
        <v>48</v>
      </c>
      <c r="D18" s="394"/>
      <c r="E18" s="396"/>
      <c r="F18" s="397"/>
      <c r="G18" s="397"/>
      <c r="H18" s="242"/>
      <c r="I18" s="252">
        <f t="shared" si="1"/>
        <v>1</v>
      </c>
      <c r="J18" s="252" t="e">
        <f t="shared" si="2"/>
        <v>#VALUE!</v>
      </c>
      <c r="K18" s="252">
        <f t="shared" si="8"/>
      </c>
      <c r="L18" s="252" t="e">
        <f t="shared" si="3"/>
        <v>#VALUE!</v>
      </c>
      <c r="M18" s="252">
        <f t="shared" si="4"/>
      </c>
      <c r="N18" s="252" t="str">
        <f t="shared" si="5"/>
        <v>Х</v>
      </c>
      <c r="O18" s="252">
        <f t="shared" si="6"/>
      </c>
      <c r="P18" s="253" t="str">
        <f t="shared" si="9"/>
        <v>Х</v>
      </c>
      <c r="Q18" s="252">
        <f t="shared" si="10"/>
      </c>
      <c r="R18" s="433">
        <f>IF(N18="",0,COUNTIF(ПодгОТ!$N$8:$N$31,N18))</f>
        <v>0</v>
      </c>
      <c r="S18" s="252" t="str">
        <f t="shared" si="7"/>
        <v>Х</v>
      </c>
      <c r="AA18" s="662"/>
      <c r="AB18" s="664"/>
      <c r="AC18" s="252"/>
      <c r="AD18" s="252"/>
      <c r="AE18" s="662"/>
      <c r="AF18" s="517"/>
    </row>
    <row r="19" spans="1:32" s="164" customFormat="1" ht="21" customHeight="1">
      <c r="A19" s="399">
        <f t="shared" si="0"/>
        <v>12</v>
      </c>
      <c r="B19" s="394"/>
      <c r="C19" s="395" t="s">
        <v>156</v>
      </c>
      <c r="D19" s="394"/>
      <c r="E19" s="396"/>
      <c r="F19" s="397"/>
      <c r="G19" s="397"/>
      <c r="H19" s="242"/>
      <c r="I19" s="252">
        <f t="shared" si="1"/>
        <v>1</v>
      </c>
      <c r="J19" s="252" t="e">
        <f t="shared" si="2"/>
        <v>#VALUE!</v>
      </c>
      <c r="K19" s="252">
        <f t="shared" si="8"/>
      </c>
      <c r="L19" s="252" t="e">
        <f t="shared" si="3"/>
        <v>#VALUE!</v>
      </c>
      <c r="M19" s="252">
        <f t="shared" si="4"/>
      </c>
      <c r="N19" s="252" t="str">
        <f t="shared" si="5"/>
        <v>Х</v>
      </c>
      <c r="O19" s="252">
        <f t="shared" si="6"/>
      </c>
      <c r="P19" s="253" t="str">
        <f t="shared" si="9"/>
        <v>Х</v>
      </c>
      <c r="Q19" s="252">
        <f t="shared" si="10"/>
      </c>
      <c r="R19" s="433">
        <f>IF(N19="",0,COUNTIF(ПодгОТ!$N$8:$N$31,N19))</f>
        <v>0</v>
      </c>
      <c r="S19" s="252" t="str">
        <f t="shared" si="7"/>
        <v>Х</v>
      </c>
      <c r="AA19" s="662"/>
      <c r="AB19" s="664"/>
      <c r="AC19" s="252"/>
      <c r="AD19" s="252"/>
      <c r="AE19" s="662"/>
      <c r="AF19" s="517"/>
    </row>
    <row r="20" spans="1:32" s="164" customFormat="1" ht="21" customHeight="1">
      <c r="A20" s="399">
        <f t="shared" si="0"/>
        <v>13</v>
      </c>
      <c r="B20" s="394"/>
      <c r="C20" s="395" t="s">
        <v>48</v>
      </c>
      <c r="D20" s="394"/>
      <c r="E20" s="396"/>
      <c r="F20" s="397"/>
      <c r="G20" s="397"/>
      <c r="H20" s="242"/>
      <c r="I20" s="252">
        <f t="shared" si="1"/>
        <v>1</v>
      </c>
      <c r="J20" s="252" t="e">
        <f t="shared" si="2"/>
        <v>#VALUE!</v>
      </c>
      <c r="K20" s="252">
        <f t="shared" si="8"/>
      </c>
      <c r="L20" s="252" t="e">
        <f t="shared" si="3"/>
        <v>#VALUE!</v>
      </c>
      <c r="M20" s="252">
        <f t="shared" si="4"/>
      </c>
      <c r="N20" s="252" t="str">
        <f t="shared" si="5"/>
        <v>Х</v>
      </c>
      <c r="O20" s="252">
        <f t="shared" si="6"/>
      </c>
      <c r="P20" s="253" t="str">
        <f t="shared" si="9"/>
        <v>Х</v>
      </c>
      <c r="Q20" s="252">
        <f t="shared" si="10"/>
      </c>
      <c r="R20" s="433">
        <f>IF(N20="",0,COUNTIF(ПодгОТ!$N$8:$N$31,N20))</f>
        <v>0</v>
      </c>
      <c r="S20" s="252" t="str">
        <f t="shared" si="7"/>
        <v>Х</v>
      </c>
      <c r="AA20" s="662"/>
      <c r="AB20" s="664"/>
      <c r="AC20" s="662" t="str">
        <f>IF(ОТ!K40=0,CONCATENATE("пр.",ОТ!G36,"/",ОТ!G40),IF(ОТ!K40=1,ОТ!G40,IF(ОТ!K40=2,ОТ!G36,"Х")))</f>
        <v>НОВИКОВ</v>
      </c>
      <c r="AD20" s="666" t="str">
        <f>IF(ОТ!K40=0,"",IF(ОТ!K40=1,ОТ!J40,IF(ОТ!K40=2,ОТ!J36,"")))</f>
        <v>Н.А.</v>
      </c>
      <c r="AE20" s="662" t="str">
        <f>IF(ОТ!O68=0,CONCATENATE("пр.",ОТ!K62,"/",ОТ!K70),IF(ОТ!O68=1,ОТ!K70,IF(ОТ!O68=2,ОТ!K62,"Х")))</f>
        <v>ПАДЕРИН</v>
      </c>
      <c r="AF20" s="664" t="str">
        <f>IF(ОТ!O68=0,"",IF(ОТ!O68=1,ОТ!N70,IF(ОТ!O68=2,ОТ!N62,"")))</f>
        <v>Н.Е.</v>
      </c>
    </row>
    <row r="21" spans="1:32" s="164" customFormat="1" ht="21" customHeight="1">
      <c r="A21" s="399">
        <f t="shared" si="0"/>
        <v>14</v>
      </c>
      <c r="B21" s="394"/>
      <c r="C21" s="395" t="s">
        <v>48</v>
      </c>
      <c r="D21" s="394"/>
      <c r="E21" s="396"/>
      <c r="F21" s="397"/>
      <c r="G21" s="397"/>
      <c r="H21" s="242"/>
      <c r="I21" s="252">
        <f t="shared" si="1"/>
        <v>1</v>
      </c>
      <c r="J21" s="252" t="e">
        <f t="shared" si="2"/>
        <v>#VALUE!</v>
      </c>
      <c r="K21" s="252">
        <f t="shared" si="8"/>
      </c>
      <c r="L21" s="252" t="e">
        <f t="shared" si="3"/>
        <v>#VALUE!</v>
      </c>
      <c r="M21" s="252">
        <f t="shared" si="4"/>
      </c>
      <c r="N21" s="252" t="str">
        <f t="shared" si="5"/>
        <v>Х</v>
      </c>
      <c r="O21" s="252">
        <f t="shared" si="6"/>
      </c>
      <c r="P21" s="253" t="str">
        <f t="shared" si="9"/>
        <v>Х</v>
      </c>
      <c r="Q21" s="252">
        <f t="shared" si="10"/>
      </c>
      <c r="R21" s="433">
        <f>IF(N21="",0,COUNTIF(ПодгОТ!$N$8:$N$31,N21))</f>
        <v>0</v>
      </c>
      <c r="S21" s="252" t="str">
        <f t="shared" si="7"/>
        <v>Х</v>
      </c>
      <c r="AA21" s="662"/>
      <c r="AB21" s="664"/>
      <c r="AC21" s="662"/>
      <c r="AD21" s="666"/>
      <c r="AE21" s="662"/>
      <c r="AF21" s="664"/>
    </row>
    <row r="22" spans="1:32" s="164" customFormat="1" ht="21" customHeight="1">
      <c r="A22" s="399">
        <f t="shared" si="0"/>
        <v>15</v>
      </c>
      <c r="B22" s="394"/>
      <c r="C22" s="395" t="s">
        <v>156</v>
      </c>
      <c r="D22" s="394"/>
      <c r="E22" s="396"/>
      <c r="F22" s="397"/>
      <c r="G22" s="397"/>
      <c r="H22" s="242"/>
      <c r="I22" s="252">
        <f t="shared" si="1"/>
        <v>1</v>
      </c>
      <c r="J22" s="252" t="e">
        <f t="shared" si="2"/>
        <v>#VALUE!</v>
      </c>
      <c r="K22" s="252">
        <f t="shared" si="8"/>
      </c>
      <c r="L22" s="252" t="e">
        <f t="shared" si="3"/>
        <v>#VALUE!</v>
      </c>
      <c r="M22" s="252">
        <f t="shared" si="4"/>
      </c>
      <c r="N22" s="252" t="str">
        <f t="shared" si="5"/>
        <v>Х</v>
      </c>
      <c r="O22" s="252">
        <f t="shared" si="6"/>
      </c>
      <c r="P22" s="253" t="str">
        <f t="shared" si="9"/>
        <v>Х</v>
      </c>
      <c r="Q22" s="252">
        <f t="shared" si="10"/>
      </c>
      <c r="R22" s="433">
        <f>IF(N22="",0,COUNTIF(ПодгОТ!$N$8:$N$31,N22))</f>
        <v>0</v>
      </c>
      <c r="S22" s="252" t="str">
        <f t="shared" si="7"/>
        <v>Х</v>
      </c>
      <c r="AA22" s="662" t="str">
        <f>IF(ОТ!G38=0,CONCATENATE("пр.",ОТ!D35,"/",ОТ!D37),IF(ОТ!G38=1,ОТ!D37,IF(ОТ!G38=2,ОТ!D35,"Х")))</f>
        <v>Х</v>
      </c>
      <c r="AB22" s="664">
        <f>IF(ОТ!G38=0,"",IF(ОТ!G38=1,ОТ!E37,IF(ОТ!G38=2,ОТ!E35,"")))</f>
      </c>
      <c r="AC22" s="252"/>
      <c r="AD22" s="252"/>
      <c r="AE22" s="662"/>
      <c r="AF22" s="517"/>
    </row>
    <row r="23" spans="1:32" s="164" customFormat="1" ht="21" customHeight="1">
      <c r="A23" s="399">
        <f t="shared" si="0"/>
        <v>16</v>
      </c>
      <c r="B23" s="394"/>
      <c r="C23" s="395" t="s">
        <v>48</v>
      </c>
      <c r="D23" s="394"/>
      <c r="E23" s="396"/>
      <c r="F23" s="397"/>
      <c r="G23" s="397"/>
      <c r="H23" s="242"/>
      <c r="I23" s="252">
        <f t="shared" si="1"/>
        <v>1</v>
      </c>
      <c r="J23" s="252" t="e">
        <f t="shared" si="2"/>
        <v>#VALUE!</v>
      </c>
      <c r="K23" s="252">
        <f t="shared" si="8"/>
      </c>
      <c r="L23" s="252" t="e">
        <f t="shared" si="3"/>
        <v>#VALUE!</v>
      </c>
      <c r="M23" s="252">
        <f t="shared" si="4"/>
      </c>
      <c r="N23" s="252" t="str">
        <f t="shared" si="5"/>
        <v>Х</v>
      </c>
      <c r="O23" s="252">
        <f t="shared" si="6"/>
      </c>
      <c r="P23" s="253" t="str">
        <f t="shared" si="9"/>
        <v>Х</v>
      </c>
      <c r="Q23" s="252">
        <f t="shared" si="10"/>
      </c>
      <c r="R23" s="433">
        <f>IF(N23="",0,COUNTIF(ПодгОТ!$N$8:$N$31,N23))</f>
        <v>0</v>
      </c>
      <c r="S23" s="252" t="str">
        <f t="shared" si="7"/>
        <v>Х</v>
      </c>
      <c r="AA23" s="662"/>
      <c r="AB23" s="664"/>
      <c r="AC23" s="252"/>
      <c r="AD23" s="252"/>
      <c r="AE23" s="662"/>
      <c r="AF23" s="517"/>
    </row>
    <row r="24" spans="1:32" ht="37.5" customHeight="1">
      <c r="A24" s="673" t="s">
        <v>124</v>
      </c>
      <c r="B24" s="673"/>
      <c r="C24" s="673"/>
      <c r="D24" s="673"/>
      <c r="E24" s="673"/>
      <c r="F24" s="673"/>
      <c r="G24" s="673"/>
      <c r="Q24" s="252"/>
      <c r="R24" s="433"/>
      <c r="S24" s="252"/>
      <c r="AA24" s="662" t="str">
        <f>IF(ОТ!G50=0,CONCATENATE("пр.",ОТ!D47,"/",ОТ!D49),IF(ОТ!G50=1,ОТ!D49,IF(ОТ!G50=2,ОТ!D47,"Х")))</f>
        <v>Х</v>
      </c>
      <c r="AB24" s="664">
        <f>IF(ОТ!G50=0,"",IF(ОТ!G50=1,ОТ!E49,IF(ОТ!G50=2,ОТ!E47,"")))</f>
      </c>
      <c r="AC24" s="662" t="str">
        <f>IF(ОТ!K48=0,CONCATENATE("пр.",ОТ!G44,"/",ОТ!G48),IF(ОТ!K48=1,ОТ!G48,IF(ОТ!K48=2,ОТ!G44,"Х")))</f>
        <v>ХЛОПУНОВ</v>
      </c>
      <c r="AD24" s="666" t="str">
        <f>IF(ОТ!K48=0,"",IF(ОТ!K48=1,ОТ!J48,IF(ОТ!K48=2,ОТ!J44,"")))</f>
        <v>В.А.</v>
      </c>
      <c r="AE24" s="662"/>
      <c r="AF24" s="520"/>
    </row>
    <row r="25" spans="1:32" s="164" customFormat="1" ht="21" customHeight="1">
      <c r="A25" s="400">
        <f>ROW()-24</f>
        <v>1</v>
      </c>
      <c r="B25" s="394"/>
      <c r="C25" s="395"/>
      <c r="D25" s="394"/>
      <c r="E25" s="396"/>
      <c r="F25" s="397"/>
      <c r="G25" s="397"/>
      <c r="H25" s="242"/>
      <c r="I25" s="252">
        <f t="shared" si="1"/>
        <v>0</v>
      </c>
      <c r="J25" s="252">
        <f t="shared" si="2"/>
        <v>0</v>
      </c>
      <c r="K25" s="252">
        <f t="shared" si="8"/>
      </c>
      <c r="L25" s="252">
        <f t="shared" si="3"/>
        <v>0</v>
      </c>
      <c r="M25" s="252">
        <f t="shared" si="4"/>
      </c>
      <c r="N25" s="252">
        <f t="shared" si="5"/>
      </c>
      <c r="O25" s="252">
        <f t="shared" si="6"/>
      </c>
      <c r="P25" s="253">
        <f t="shared" si="9"/>
      </c>
      <c r="Q25" s="252">
        <f t="shared" si="10"/>
      </c>
      <c r="R25" s="433">
        <f>IF(N25="",0,COUNTIF(ПодгОТ!$N$8:$N$31,N25))</f>
        <v>0</v>
      </c>
      <c r="S25" s="252">
        <f aca="true" t="shared" si="11" ref="S25:S32">IF(R25&gt;1,CONCATENATE(N25,Q25),N25)</f>
      </c>
      <c r="AA25" s="662"/>
      <c r="AB25" s="664"/>
      <c r="AC25" s="662"/>
      <c r="AD25" s="666"/>
      <c r="AE25" s="662"/>
      <c r="AF25" s="517"/>
    </row>
    <row r="26" spans="1:32" s="164" customFormat="1" ht="21" customHeight="1">
      <c r="A26" s="400">
        <f aca="true" t="shared" si="12" ref="A26:A32">ROW()-24</f>
        <v>2</v>
      </c>
      <c r="B26" s="394"/>
      <c r="C26" s="395"/>
      <c r="D26" s="394"/>
      <c r="E26" s="396"/>
      <c r="F26" s="397"/>
      <c r="G26" s="397"/>
      <c r="H26" s="242"/>
      <c r="I26" s="252">
        <f t="shared" si="1"/>
        <v>0</v>
      </c>
      <c r="J26" s="252">
        <f t="shared" si="2"/>
        <v>0</v>
      </c>
      <c r="K26" s="252">
        <f t="shared" si="8"/>
      </c>
      <c r="L26" s="252">
        <f t="shared" si="3"/>
        <v>0</v>
      </c>
      <c r="M26" s="252">
        <f t="shared" si="4"/>
      </c>
      <c r="N26" s="252">
        <f t="shared" si="5"/>
      </c>
      <c r="O26" s="252">
        <f t="shared" si="6"/>
      </c>
      <c r="P26" s="253">
        <f t="shared" si="9"/>
      </c>
      <c r="Q26" s="252">
        <f t="shared" si="10"/>
      </c>
      <c r="R26" s="433">
        <f>IF(N26="",0,COUNTIF(ПодгОТ!$N$8:$N$31,N26))</f>
        <v>0</v>
      </c>
      <c r="S26" s="252">
        <f t="shared" si="11"/>
      </c>
      <c r="AA26" s="662"/>
      <c r="AB26" s="664"/>
      <c r="AC26" s="662"/>
      <c r="AD26" s="666"/>
      <c r="AE26" s="662"/>
      <c r="AF26" s="517"/>
    </row>
    <row r="27" spans="1:32" s="164" customFormat="1" ht="21" customHeight="1">
      <c r="A27" s="400">
        <f t="shared" si="12"/>
        <v>3</v>
      </c>
      <c r="B27" s="394"/>
      <c r="C27" s="395"/>
      <c r="D27" s="394"/>
      <c r="E27" s="396"/>
      <c r="F27" s="397"/>
      <c r="G27" s="397"/>
      <c r="H27" s="242"/>
      <c r="I27" s="252">
        <f t="shared" si="1"/>
        <v>0</v>
      </c>
      <c r="J27" s="252">
        <f t="shared" si="2"/>
        <v>0</v>
      </c>
      <c r="K27" s="252">
        <f t="shared" si="8"/>
      </c>
      <c r="L27" s="252">
        <f t="shared" si="3"/>
        <v>0</v>
      </c>
      <c r="M27" s="252">
        <f t="shared" si="4"/>
      </c>
      <c r="N27" s="252">
        <f t="shared" si="5"/>
      </c>
      <c r="O27" s="252">
        <f t="shared" si="6"/>
      </c>
      <c r="P27" s="253">
        <f t="shared" si="9"/>
      </c>
      <c r="Q27" s="252">
        <f t="shared" si="10"/>
      </c>
      <c r="R27" s="433">
        <f>IF(N27="",0,COUNTIF(ПодгОТ!$N$8:$N$31,N27))</f>
        <v>0</v>
      </c>
      <c r="S27" s="252">
        <f t="shared" si="11"/>
      </c>
      <c r="AA27" s="662"/>
      <c r="AB27" s="664"/>
      <c r="AC27" s="662"/>
      <c r="AD27" s="666"/>
      <c r="AE27" s="662"/>
      <c r="AF27" s="517"/>
    </row>
    <row r="28" spans="1:32" s="164" customFormat="1" ht="21" customHeight="1">
      <c r="A28" s="400">
        <f t="shared" si="12"/>
        <v>4</v>
      </c>
      <c r="B28" s="394"/>
      <c r="C28" s="395"/>
      <c r="D28" s="394"/>
      <c r="E28" s="396"/>
      <c r="F28" s="397"/>
      <c r="G28" s="397"/>
      <c r="H28" s="242"/>
      <c r="I28" s="252">
        <f t="shared" si="1"/>
        <v>0</v>
      </c>
      <c r="J28" s="252">
        <f t="shared" si="2"/>
        <v>0</v>
      </c>
      <c r="K28" s="252">
        <f t="shared" si="8"/>
      </c>
      <c r="L28" s="252">
        <f t="shared" si="3"/>
        <v>0</v>
      </c>
      <c r="M28" s="252">
        <f t="shared" si="4"/>
      </c>
      <c r="N28" s="252">
        <f t="shared" si="5"/>
      </c>
      <c r="O28" s="252">
        <f t="shared" si="6"/>
      </c>
      <c r="P28" s="253">
        <f t="shared" si="9"/>
      </c>
      <c r="Q28" s="252">
        <f t="shared" si="10"/>
      </c>
      <c r="R28" s="433">
        <f>IF(N28="",0,COUNTIF(ПодгОТ!$N$8:$N$31,N28))</f>
        <v>0</v>
      </c>
      <c r="S28" s="252">
        <f t="shared" si="11"/>
      </c>
      <c r="AA28" s="662"/>
      <c r="AB28" s="664"/>
      <c r="AC28" s="662" t="str">
        <f>IF(ОТ!K56=0,CONCATENATE("пр.",ОТ!G52,"/",ОТ!G56),IF(ОТ!K56=1,ОТ!G56,IF(ОТ!K56=2,ОТ!G52,"Х")))</f>
        <v>СМИРНОВ</v>
      </c>
      <c r="AD28" s="666" t="str">
        <f>IF(ОТ!K56=0,"",IF(ОТ!K56=1,ОТ!J56,IF(ОТ!K56=2,ОТ!J52,"")))</f>
        <v>Д.В.</v>
      </c>
      <c r="AE28" s="662"/>
      <c r="AF28" s="517"/>
    </row>
    <row r="29" spans="1:32" s="164" customFormat="1" ht="21" customHeight="1">
      <c r="A29" s="400">
        <f t="shared" si="12"/>
        <v>5</v>
      </c>
      <c r="B29" s="394"/>
      <c r="C29" s="395"/>
      <c r="D29" s="394"/>
      <c r="E29" s="396"/>
      <c r="F29" s="397"/>
      <c r="G29" s="397"/>
      <c r="H29" s="242"/>
      <c r="I29" s="252">
        <f t="shared" si="1"/>
        <v>0</v>
      </c>
      <c r="J29" s="252">
        <f t="shared" si="2"/>
        <v>0</v>
      </c>
      <c r="K29" s="252">
        <f t="shared" si="8"/>
      </c>
      <c r="L29" s="252">
        <f t="shared" si="3"/>
        <v>0</v>
      </c>
      <c r="M29" s="252">
        <f t="shared" si="4"/>
      </c>
      <c r="N29" s="252">
        <f t="shared" si="5"/>
      </c>
      <c r="O29" s="252">
        <f t="shared" si="6"/>
      </c>
      <c r="P29" s="253">
        <f t="shared" si="9"/>
      </c>
      <c r="Q29" s="252">
        <f t="shared" si="10"/>
      </c>
      <c r="R29" s="433">
        <f>IF(N29="",0,COUNTIF(ПодгОТ!$N$8:$N$31,N29))</f>
        <v>0</v>
      </c>
      <c r="S29" s="252">
        <f t="shared" si="11"/>
      </c>
      <c r="AA29" s="662"/>
      <c r="AB29" s="664"/>
      <c r="AC29" s="662"/>
      <c r="AD29" s="666"/>
      <c r="AE29" s="662"/>
      <c r="AF29" s="517"/>
    </row>
    <row r="30" spans="1:32" s="164" customFormat="1" ht="21" customHeight="1">
      <c r="A30" s="400">
        <f t="shared" si="12"/>
        <v>6</v>
      </c>
      <c r="B30" s="394"/>
      <c r="C30" s="395"/>
      <c r="D30" s="394"/>
      <c r="E30" s="396"/>
      <c r="F30" s="397"/>
      <c r="G30" s="397"/>
      <c r="H30" s="242"/>
      <c r="I30" s="252">
        <f t="shared" si="1"/>
        <v>0</v>
      </c>
      <c r="J30" s="252">
        <f t="shared" si="2"/>
        <v>0</v>
      </c>
      <c r="K30" s="252">
        <f t="shared" si="8"/>
      </c>
      <c r="L30" s="252">
        <f t="shared" si="3"/>
        <v>0</v>
      </c>
      <c r="M30" s="252">
        <f t="shared" si="4"/>
      </c>
      <c r="N30" s="252">
        <f t="shared" si="5"/>
      </c>
      <c r="O30" s="252">
        <f t="shared" si="6"/>
      </c>
      <c r="P30" s="253">
        <f t="shared" si="9"/>
      </c>
      <c r="Q30" s="252">
        <f t="shared" si="10"/>
      </c>
      <c r="R30" s="433">
        <f>IF(N30="",0,COUNTIF(ПодгОТ!$N$8:$N$31,N30))</f>
        <v>0</v>
      </c>
      <c r="S30" s="252">
        <f t="shared" si="11"/>
      </c>
      <c r="AA30" s="662" t="str">
        <f>IF(ОТ!G54=0,CONCATENATE("пр.",ОТ!D51,"/",ОТ!D53),IF(ОТ!G54=1,ОТ!D53,IF(ОТ!G54=2,ОТ!D51,"Х")))</f>
        <v>ЮЛИК</v>
      </c>
      <c r="AB30" s="664" t="str">
        <f>IF(ОТ!G54=0,"",IF(ОТ!G54=1,ОТ!E53,IF(ОТ!G54=2,ОТ!E51,"")))</f>
        <v>В.М.</v>
      </c>
      <c r="AC30" s="662"/>
      <c r="AD30" s="666"/>
      <c r="AE30" s="662"/>
      <c r="AF30" s="517"/>
    </row>
    <row r="31" spans="1:32" s="164" customFormat="1" ht="21" customHeight="1">
      <c r="A31" s="400">
        <f t="shared" si="12"/>
        <v>7</v>
      </c>
      <c r="B31" s="394"/>
      <c r="C31" s="395"/>
      <c r="D31" s="394"/>
      <c r="E31" s="396"/>
      <c r="F31" s="397"/>
      <c r="G31" s="397"/>
      <c r="H31" s="242"/>
      <c r="I31" s="252">
        <f t="shared" si="1"/>
        <v>0</v>
      </c>
      <c r="J31" s="252">
        <f t="shared" si="2"/>
        <v>0</v>
      </c>
      <c r="K31" s="252">
        <f t="shared" si="8"/>
      </c>
      <c r="L31" s="252">
        <f t="shared" si="3"/>
        <v>0</v>
      </c>
      <c r="M31" s="252">
        <f t="shared" si="4"/>
      </c>
      <c r="N31" s="252">
        <f t="shared" si="5"/>
      </c>
      <c r="O31" s="252">
        <f t="shared" si="6"/>
      </c>
      <c r="P31" s="253">
        <f t="shared" si="9"/>
      </c>
      <c r="Q31" s="252">
        <f t="shared" si="10"/>
      </c>
      <c r="R31" s="433">
        <f>IF(N31="",0,COUNTIF(ПодгОТ!$N$8:$N$31,N31))</f>
        <v>0</v>
      </c>
      <c r="S31" s="252">
        <f t="shared" si="11"/>
      </c>
      <c r="AA31" s="662"/>
      <c r="AB31" s="664"/>
      <c r="AC31" s="662"/>
      <c r="AD31" s="666"/>
      <c r="AE31" s="662"/>
      <c r="AF31" s="517"/>
    </row>
    <row r="32" spans="1:32" s="164" customFormat="1" ht="21" customHeight="1">
      <c r="A32" s="400">
        <f t="shared" si="12"/>
        <v>8</v>
      </c>
      <c r="B32" s="394"/>
      <c r="C32" s="395"/>
      <c r="D32" s="394"/>
      <c r="E32" s="396"/>
      <c r="F32" s="397"/>
      <c r="G32" s="397"/>
      <c r="H32" s="242"/>
      <c r="I32" s="252">
        <f t="shared" si="1"/>
        <v>0</v>
      </c>
      <c r="J32" s="252">
        <f t="shared" si="2"/>
        <v>0</v>
      </c>
      <c r="K32" s="252">
        <f t="shared" si="8"/>
      </c>
      <c r="L32" s="252">
        <f t="shared" si="3"/>
        <v>0</v>
      </c>
      <c r="M32" s="252">
        <f t="shared" si="4"/>
      </c>
      <c r="N32" s="252">
        <f t="shared" si="5"/>
      </c>
      <c r="O32" s="252">
        <f t="shared" si="6"/>
      </c>
      <c r="P32" s="253">
        <f t="shared" si="9"/>
      </c>
      <c r="Q32" s="252">
        <f t="shared" si="10"/>
      </c>
      <c r="R32" s="433">
        <f>IF(N32="",0,COUNTIF(ПодгОТ!$N$8:$N$31,N32))</f>
        <v>0</v>
      </c>
      <c r="S32" s="252">
        <f t="shared" si="11"/>
      </c>
      <c r="AA32" s="662" t="str">
        <f>IF(ОТ!G66=0,CONCATENATE("пр.",ОТ!D63,"/",ОТ!D65),IF(ОТ!G66=1,ОТ!D65,IF(ОТ!G66=2,ОТ!D63,"Х")))</f>
        <v>ПОТАПОВ</v>
      </c>
      <c r="AB32" s="664" t="str">
        <f>IF(ОТ!G66=0,"",IF(ОТ!G66=1,ОТ!E65,IF(ОТ!G66=2,ОТ!E63,"")))</f>
        <v>Н.О.</v>
      </c>
      <c r="AC32" s="662" t="str">
        <f>IF(ОТ!K64=0,CONCATENATE("пр.",ОТ!G60,"/",ОТ!G64),IF(ОТ!K64=1,ОТ!G64,IF(ОТ!K64=2,ОТ!G60,"Х")))</f>
        <v>КОЗЛОВ</v>
      </c>
      <c r="AD32" s="666" t="str">
        <f>IF(ОТ!K64=0,"",IF(ОТ!K64=1,ОТ!J64,IF(ОТ!K64=2,ОТ!J60,"")))</f>
        <v>Н.Ю.</v>
      </c>
      <c r="AE32" s="662"/>
      <c r="AF32" s="517"/>
    </row>
    <row r="33" spans="1:32" ht="37.5" customHeight="1">
      <c r="A33" s="673" t="s">
        <v>125</v>
      </c>
      <c r="B33" s="673"/>
      <c r="C33" s="673"/>
      <c r="D33" s="673"/>
      <c r="E33" s="673"/>
      <c r="F33" s="673"/>
      <c r="G33" s="673"/>
      <c r="Q33" s="252"/>
      <c r="R33" s="433"/>
      <c r="S33" s="252"/>
      <c r="AA33" s="662"/>
      <c r="AB33" s="664"/>
      <c r="AC33" s="662"/>
      <c r="AD33" s="666"/>
      <c r="AE33" s="662"/>
      <c r="AF33" s="520"/>
    </row>
    <row r="34" spans="1:32" s="164" customFormat="1" ht="21" customHeight="1">
      <c r="A34" s="400">
        <f>ROW()-33</f>
        <v>1</v>
      </c>
      <c r="B34" s="394"/>
      <c r="C34" s="395"/>
      <c r="D34" s="394"/>
      <c r="E34" s="396"/>
      <c r="F34" s="397"/>
      <c r="G34" s="397"/>
      <c r="H34" s="242"/>
      <c r="I34" s="252">
        <f t="shared" si="1"/>
        <v>0</v>
      </c>
      <c r="J34" s="252">
        <f t="shared" si="2"/>
        <v>0</v>
      </c>
      <c r="K34" s="252">
        <f t="shared" si="8"/>
      </c>
      <c r="L34" s="252">
        <f t="shared" si="3"/>
        <v>0</v>
      </c>
      <c r="M34" s="252">
        <f t="shared" si="4"/>
      </c>
      <c r="N34" s="252">
        <f t="shared" si="5"/>
      </c>
      <c r="O34" s="252">
        <f t="shared" si="6"/>
      </c>
      <c r="P34" s="253">
        <f t="shared" si="9"/>
      </c>
      <c r="Q34" s="252">
        <f t="shared" si="10"/>
      </c>
      <c r="R34" s="433">
        <f>IF(N34="",0,COUNTIF(ПодгОТ!$N$8:$N$31,N34))</f>
        <v>0</v>
      </c>
      <c r="S34" s="252">
        <f>IF(R34&gt;1,CONCATENATE(N34,Q34),N34)</f>
      </c>
      <c r="AA34" s="662"/>
      <c r="AB34" s="664"/>
      <c r="AC34" s="662"/>
      <c r="AD34" s="666"/>
      <c r="AE34" s="662"/>
      <c r="AF34" s="517"/>
    </row>
    <row r="35" spans="1:32" s="164" customFormat="1" ht="21" customHeight="1">
      <c r="A35" s="400">
        <f>ROW()-33</f>
        <v>2</v>
      </c>
      <c r="B35" s="394"/>
      <c r="C35" s="395"/>
      <c r="D35" s="394"/>
      <c r="E35" s="396"/>
      <c r="F35" s="397"/>
      <c r="G35" s="397"/>
      <c r="H35" s="242"/>
      <c r="I35" s="252">
        <f t="shared" si="1"/>
        <v>0</v>
      </c>
      <c r="J35" s="252">
        <f t="shared" si="2"/>
        <v>0</v>
      </c>
      <c r="K35" s="252">
        <f t="shared" si="8"/>
      </c>
      <c r="L35" s="252">
        <f t="shared" si="3"/>
        <v>0</v>
      </c>
      <c r="M35" s="252">
        <f t="shared" si="4"/>
      </c>
      <c r="N35" s="252">
        <f t="shared" si="5"/>
      </c>
      <c r="O35" s="252">
        <f t="shared" si="6"/>
      </c>
      <c r="P35" s="253">
        <f t="shared" si="9"/>
      </c>
      <c r="Q35" s="252">
        <f t="shared" si="10"/>
      </c>
      <c r="R35" s="433">
        <f>IF(N35="",0,COUNTIF(ПодгОТ!$N$8:$N$31,N35))</f>
        <v>0</v>
      </c>
      <c r="S35" s="252">
        <f>IF(R35&gt;1,CONCATENATE(N35,Q35),N35)</f>
      </c>
      <c r="AA35" s="662"/>
      <c r="AB35" s="664"/>
      <c r="AC35" s="662"/>
      <c r="AD35" s="666"/>
      <c r="AE35" s="662"/>
      <c r="AF35" s="517"/>
    </row>
    <row r="36" spans="1:32" s="164" customFormat="1" ht="21" customHeight="1">
      <c r="A36" s="400">
        <f>ROW()-33</f>
        <v>3</v>
      </c>
      <c r="B36" s="394"/>
      <c r="C36" s="395"/>
      <c r="D36" s="394"/>
      <c r="E36" s="396"/>
      <c r="F36" s="397"/>
      <c r="G36" s="397"/>
      <c r="H36" s="242"/>
      <c r="I36" s="252">
        <f t="shared" si="1"/>
        <v>0</v>
      </c>
      <c r="J36" s="252">
        <f t="shared" si="2"/>
        <v>0</v>
      </c>
      <c r="K36" s="252">
        <f t="shared" si="8"/>
      </c>
      <c r="L36" s="252">
        <f t="shared" si="3"/>
        <v>0</v>
      </c>
      <c r="M36" s="252">
        <f t="shared" si="4"/>
      </c>
      <c r="N36" s="252">
        <f t="shared" si="5"/>
      </c>
      <c r="O36" s="252">
        <f t="shared" si="6"/>
      </c>
      <c r="P36" s="253">
        <f t="shared" si="9"/>
      </c>
      <c r="Q36" s="252">
        <f t="shared" si="10"/>
      </c>
      <c r="R36" s="433">
        <f>IF(N36="",0,COUNTIF(ПодгОТ!$N$8:$N$31,N36))</f>
        <v>0</v>
      </c>
      <c r="S36" s="252">
        <f>IF(R36&gt;1,CONCATENATE(N36,Q36),N36)</f>
      </c>
      <c r="AA36" s="662"/>
      <c r="AB36" s="664"/>
      <c r="AC36" s="662" t="str">
        <f>IF(ОТ!K72=0,CONCATENATE("пр.",ОТ!G68,"/",ОТ!G72),IF(ОТ!K72=1,ОТ!G72,IF(ОТ!K72=2,ОТ!G68,"Х")))</f>
        <v>ШАЙХУТДИНОВ</v>
      </c>
      <c r="AD36" s="666" t="str">
        <f>IF(ОТ!K72=0,"",IF(ОТ!K72=1,ОТ!J72,IF(ОТ!K72=2,ОТ!J68,"")))</f>
        <v>В.А.</v>
      </c>
      <c r="AE36" s="662"/>
      <c r="AF36" s="517"/>
    </row>
    <row r="37" spans="1:32" s="164" customFormat="1" ht="21" customHeight="1">
      <c r="A37" s="400">
        <f>ROW()-33</f>
        <v>4</v>
      </c>
      <c r="B37" s="394"/>
      <c r="C37" s="395"/>
      <c r="D37" s="394"/>
      <c r="E37" s="396"/>
      <c r="F37" s="397"/>
      <c r="G37" s="397"/>
      <c r="H37" s="242"/>
      <c r="I37" s="252">
        <f t="shared" si="1"/>
        <v>0</v>
      </c>
      <c r="J37" s="252">
        <f t="shared" si="2"/>
        <v>0</v>
      </c>
      <c r="K37" s="252">
        <f t="shared" si="8"/>
      </c>
      <c r="L37" s="252">
        <f t="shared" si="3"/>
        <v>0</v>
      </c>
      <c r="M37" s="252">
        <f t="shared" si="4"/>
      </c>
      <c r="N37" s="252">
        <f t="shared" si="5"/>
      </c>
      <c r="O37" s="252">
        <f t="shared" si="6"/>
      </c>
      <c r="P37" s="253">
        <f t="shared" si="9"/>
      </c>
      <c r="Q37" s="252">
        <f t="shared" si="10"/>
      </c>
      <c r="R37" s="433">
        <f>IF(N37="",0,COUNTIF(ПодгОТ!$N$8:$N$31,N37))</f>
        <v>0</v>
      </c>
      <c r="S37" s="252">
        <f>IF(R37&gt;1,CONCATENATE(N37,Q37),N37)</f>
      </c>
      <c r="AA37" s="662"/>
      <c r="AB37" s="664"/>
      <c r="AC37" s="662"/>
      <c r="AD37" s="666"/>
      <c r="AE37" s="662"/>
      <c r="AF37" s="517"/>
    </row>
    <row r="38" spans="3:32" s="401" customFormat="1" ht="12.75">
      <c r="C38" s="402"/>
      <c r="F38" s="402"/>
      <c r="G38" s="402"/>
      <c r="H38" s="403"/>
      <c r="I38" s="254"/>
      <c r="J38" s="254"/>
      <c r="K38" s="254"/>
      <c r="L38" s="254"/>
      <c r="M38" s="254"/>
      <c r="N38" s="254"/>
      <c r="O38" s="254"/>
      <c r="P38" s="255"/>
      <c r="Q38" s="252">
        <f>IF(C38="","",IF(ISERR(J38),UPPER(C38),UPPER(MID(C38,J38,L38-J38))))</f>
      </c>
      <c r="R38" s="433"/>
      <c r="S38" s="252"/>
      <c r="AA38" s="662" t="str">
        <f>IF(ОТ!G70=0,CONCATENATE("пр.",ОТ!D67,"/",ОТ!D69),IF(ОТ!G70=1,ОТ!D69,IF(ОТ!G70=2,ОТ!D67,"Х")))</f>
        <v>Х</v>
      </c>
      <c r="AB38" s="664">
        <f>IF(ОТ!G70=0,"",IF(ОТ!G70=1,ОТ!E69,IF(ОТ!G70=2,ОТ!E67,"")))</f>
      </c>
      <c r="AC38" s="662"/>
      <c r="AD38" s="666"/>
      <c r="AE38" s="662"/>
      <c r="AF38" s="521"/>
    </row>
    <row r="39" spans="1:32" s="165" customFormat="1" ht="27.75" customHeight="1">
      <c r="A39" s="670" t="s">
        <v>54</v>
      </c>
      <c r="B39" s="670"/>
      <c r="C39" s="475"/>
      <c r="D39" s="670" t="s">
        <v>148</v>
      </c>
      <c r="E39" s="670"/>
      <c r="F39" s="476" t="str">
        <f>UPPER(Установка!C11)</f>
        <v>ЗЕЛИНГЕР М.М.</v>
      </c>
      <c r="G39" s="476"/>
      <c r="H39" s="243"/>
      <c r="I39" s="254"/>
      <c r="J39" s="254"/>
      <c r="K39" s="254"/>
      <c r="L39" s="254"/>
      <c r="M39" s="254"/>
      <c r="N39" s="254"/>
      <c r="O39" s="254"/>
      <c r="P39" s="255"/>
      <c r="Q39" s="252">
        <f>IF(C39="","",IF(ISERR(J39),UPPER(C39),UPPER(MID(C39,J39,L39-J39))))</f>
      </c>
      <c r="R39" s="433"/>
      <c r="S39" s="252"/>
      <c r="AA39" s="663"/>
      <c r="AB39" s="665"/>
      <c r="AC39" s="663"/>
      <c r="AD39" s="667"/>
      <c r="AE39" s="663"/>
      <c r="AF39" s="522"/>
    </row>
    <row r="40" spans="3:32" s="477" customFormat="1" ht="11.25" customHeight="1">
      <c r="C40" s="478" t="s">
        <v>53</v>
      </c>
      <c r="D40" s="479"/>
      <c r="E40" s="479"/>
      <c r="F40" s="480"/>
      <c r="G40" s="480" t="s">
        <v>146</v>
      </c>
      <c r="H40" s="481"/>
      <c r="I40" s="482"/>
      <c r="J40" s="482"/>
      <c r="K40" s="482"/>
      <c r="L40" s="482"/>
      <c r="M40" s="482"/>
      <c r="N40" s="482"/>
      <c r="O40" s="482"/>
      <c r="P40" s="483"/>
      <c r="Q40" s="482"/>
      <c r="R40" s="482"/>
      <c r="S40" s="482"/>
      <c r="AA40" s="523"/>
      <c r="AB40" s="523"/>
      <c r="AC40" s="523"/>
      <c r="AD40" s="523"/>
      <c r="AE40" s="523"/>
      <c r="AF40" s="523"/>
    </row>
    <row r="41" spans="1:32" s="165" customFormat="1" ht="12.75" hidden="1">
      <c r="A41" s="169"/>
      <c r="B41" s="254">
        <f>16-COUNTIF(C8:C23,"")</f>
        <v>16</v>
      </c>
      <c r="C41" s="405"/>
      <c r="D41" s="170"/>
      <c r="E41" s="170"/>
      <c r="F41" s="166"/>
      <c r="G41" s="166"/>
      <c r="H41" s="243"/>
      <c r="I41" s="254"/>
      <c r="J41" s="254"/>
      <c r="K41" s="254"/>
      <c r="L41" s="254"/>
      <c r="M41" s="254"/>
      <c r="N41" s="254"/>
      <c r="O41" s="254"/>
      <c r="P41" s="255"/>
      <c r="Q41" s="254"/>
      <c r="R41" s="254"/>
      <c r="S41" s="254"/>
      <c r="AA41" s="524"/>
      <c r="AB41" s="524"/>
      <c r="AC41" s="524"/>
      <c r="AD41" s="524"/>
      <c r="AE41" s="524"/>
      <c r="AF41" s="524"/>
    </row>
    <row r="42" spans="1:32" s="165" customFormat="1" ht="12.75" hidden="1">
      <c r="A42" s="169"/>
      <c r="B42" s="254">
        <f>8-COUNTIF(C25:C32,"")</f>
        <v>0</v>
      </c>
      <c r="C42" s="405"/>
      <c r="D42" s="170"/>
      <c r="E42" s="170"/>
      <c r="F42" s="166"/>
      <c r="G42" s="166"/>
      <c r="H42" s="243"/>
      <c r="I42" s="254"/>
      <c r="J42" s="254"/>
      <c r="K42" s="254"/>
      <c r="L42" s="254"/>
      <c r="M42" s="254"/>
      <c r="N42" s="254"/>
      <c r="O42" s="254"/>
      <c r="P42" s="255"/>
      <c r="Q42" s="254"/>
      <c r="R42" s="254"/>
      <c r="S42" s="254"/>
      <c r="AA42" s="524"/>
      <c r="AB42" s="524"/>
      <c r="AC42" s="524"/>
      <c r="AD42" s="524"/>
      <c r="AE42" s="524"/>
      <c r="AF42" s="524"/>
    </row>
    <row r="43" spans="1:32" s="165" customFormat="1" ht="12.75" hidden="1">
      <c r="A43" s="169"/>
      <c r="B43" s="254">
        <f>4-COUNTIF(C34:C37,"")</f>
        <v>0</v>
      </c>
      <c r="C43" s="406"/>
      <c r="D43" s="170"/>
      <c r="E43" s="170"/>
      <c r="F43" s="166"/>
      <c r="G43" s="166"/>
      <c r="H43" s="243"/>
      <c r="I43" s="254"/>
      <c r="J43" s="254"/>
      <c r="K43" s="254"/>
      <c r="L43" s="254"/>
      <c r="M43" s="254"/>
      <c r="N43" s="254"/>
      <c r="O43" s="254"/>
      <c r="P43" s="255"/>
      <c r="Q43" s="254"/>
      <c r="R43" s="254"/>
      <c r="S43" s="254"/>
      <c r="AA43" s="524"/>
      <c r="AB43" s="524"/>
      <c r="AC43" s="524"/>
      <c r="AD43" s="524"/>
      <c r="AE43" s="524"/>
      <c r="AF43" s="524"/>
    </row>
    <row r="44" spans="1:19" ht="12.75" hidden="1">
      <c r="A44" s="54"/>
      <c r="D44" s="51"/>
      <c r="E44" s="51"/>
      <c r="Q44" s="254"/>
      <c r="R44" s="254"/>
      <c r="S44" s="254"/>
    </row>
    <row r="45" spans="1:19" ht="12.75" hidden="1">
      <c r="A45" s="54"/>
      <c r="D45" s="51"/>
      <c r="E45" s="51"/>
      <c r="Q45" s="254"/>
      <c r="R45" s="254"/>
      <c r="S45" s="254"/>
    </row>
    <row r="46" spans="1:5" ht="12.75" hidden="1">
      <c r="A46" s="54"/>
      <c r="D46" s="51"/>
      <c r="E46" s="51"/>
    </row>
    <row r="47" spans="1:5" ht="12.75" hidden="1">
      <c r="A47" s="54"/>
      <c r="D47" s="51"/>
      <c r="E47" s="51"/>
    </row>
    <row r="48" spans="1:5" ht="12.75" hidden="1">
      <c r="A48" s="54"/>
      <c r="D48" s="51"/>
      <c r="E48" s="51"/>
    </row>
    <row r="49" spans="1:5" ht="12.75" hidden="1">
      <c r="A49" s="54"/>
      <c r="D49" s="51"/>
      <c r="E49" s="51"/>
    </row>
    <row r="50" spans="1:19" ht="12.75" hidden="1">
      <c r="A50" s="376"/>
      <c r="B50" s="407" t="s">
        <v>22</v>
      </c>
      <c r="C50" s="249"/>
      <c r="D50" s="249">
        <f>IF(E50,0,1)</f>
        <v>1</v>
      </c>
      <c r="E50" s="411" t="b">
        <v>0</v>
      </c>
      <c r="F50" s="377" t="str">
        <f>IF(E50,""," 1/16")</f>
        <v> 1/16</v>
      </c>
      <c r="G50" s="413"/>
      <c r="H50" s="408">
        <f>IF(OR(F50="",$D$53=D50,D51+D52=0),"",",")</f>
      </c>
      <c r="Q50" s="258"/>
      <c r="R50" s="258"/>
      <c r="S50" s="258"/>
    </row>
    <row r="51" spans="1:8" ht="12.75" hidden="1">
      <c r="A51" s="376"/>
      <c r="B51" s="407" t="s">
        <v>23</v>
      </c>
      <c r="C51" s="249"/>
      <c r="D51" s="249">
        <f>IF(E51,0,1)</f>
        <v>0</v>
      </c>
      <c r="E51" s="412" t="b">
        <v>1</v>
      </c>
      <c r="F51" s="377">
        <f>IF(OR(E51),""," 1/8")</f>
      </c>
      <c r="G51" s="413">
        <v>0</v>
      </c>
      <c r="H51" s="408">
        <f>IF(OR(F51="",$D$53=D51,D52=0),"",",")</f>
      </c>
    </row>
    <row r="52" spans="1:8" ht="12.75" hidden="1">
      <c r="A52" s="376"/>
      <c r="B52" s="407" t="s">
        <v>24</v>
      </c>
      <c r="C52" s="249"/>
      <c r="D52" s="249">
        <f>IF(E52,0,1)</f>
        <v>0</v>
      </c>
      <c r="E52" s="412" t="b">
        <v>1</v>
      </c>
      <c r="F52" s="377">
        <f>IF(E52,""," 1/4")</f>
      </c>
      <c r="G52" s="413">
        <v>0</v>
      </c>
      <c r="H52" s="408"/>
    </row>
    <row r="53" spans="1:8" ht="12.75" hidden="1">
      <c r="A53" s="376"/>
      <c r="B53" s="249"/>
      <c r="C53" s="249"/>
      <c r="D53" s="409">
        <f>SUM(D50:D52)</f>
        <v>1</v>
      </c>
      <c r="E53" s="409"/>
      <c r="F53" s="377"/>
      <c r="G53" s="377"/>
      <c r="H53" s="408"/>
    </row>
    <row r="54" spans="1:8" ht="12.75" hidden="1">
      <c r="A54" s="376"/>
      <c r="B54" s="249"/>
      <c r="C54" s="249" t="str">
        <f>CONCATENATE(F50,H50,F51,H51,F52,D54)</f>
        <v> 1/16 финала</v>
      </c>
      <c r="D54" s="409" t="s">
        <v>152</v>
      </c>
      <c r="E54" s="409"/>
      <c r="F54" s="377"/>
      <c r="G54" s="377"/>
      <c r="H54" s="408"/>
    </row>
    <row r="55" spans="1:8" ht="12.75" hidden="1">
      <c r="A55" s="376"/>
      <c r="B55" s="249"/>
      <c r="C55" s="249"/>
      <c r="D55" s="409"/>
      <c r="E55" s="409"/>
      <c r="F55" s="377"/>
      <c r="G55" s="377"/>
      <c r="H55" s="408"/>
    </row>
    <row r="56" spans="1:8" ht="12.75" hidden="1">
      <c r="A56" s="376"/>
      <c r="B56" s="249"/>
      <c r="C56" s="407" t="s">
        <v>132</v>
      </c>
      <c r="D56" s="409">
        <v>684</v>
      </c>
      <c r="E56" s="409"/>
      <c r="F56" s="377"/>
      <c r="G56" s="377"/>
      <c r="H56" s="408"/>
    </row>
    <row r="57" spans="1:8" ht="12.75" hidden="1">
      <c r="A57" s="376"/>
      <c r="B57" s="249"/>
      <c r="C57" s="407" t="s">
        <v>133</v>
      </c>
      <c r="D57" s="409">
        <f>32*D50+30*D51+14*D52</f>
        <v>32</v>
      </c>
      <c r="E57" s="409"/>
      <c r="F57" s="377"/>
      <c r="G57" s="377"/>
      <c r="H57" s="408"/>
    </row>
    <row r="58" spans="1:8" ht="12.75" hidden="1">
      <c r="A58" s="376"/>
      <c r="B58" s="249"/>
      <c r="C58" s="407" t="s">
        <v>134</v>
      </c>
      <c r="D58" s="410">
        <f>IF(D57=0,0,D56/D57)</f>
        <v>21.375</v>
      </c>
      <c r="E58" s="409"/>
      <c r="F58" s="377"/>
      <c r="G58" s="377"/>
      <c r="H58" s="408"/>
    </row>
    <row r="59" spans="1:5" ht="12.75" hidden="1">
      <c r="A59" s="54"/>
      <c r="D59" s="51"/>
      <c r="E59" s="51"/>
    </row>
    <row r="60" spans="1:5" ht="12.75">
      <c r="A60" s="54"/>
      <c r="D60" s="51"/>
      <c r="E60" s="51"/>
    </row>
    <row r="61" spans="1:5" ht="12.75">
      <c r="A61" s="54"/>
      <c r="D61" s="51"/>
      <c r="E61" s="51"/>
    </row>
    <row r="62" spans="1:5" ht="12.75">
      <c r="A62" s="54"/>
      <c r="D62" s="51"/>
      <c r="E62" s="51"/>
    </row>
    <row r="63" spans="1:5" ht="12.75">
      <c r="A63" s="54"/>
      <c r="D63" s="51"/>
      <c r="E63" s="51"/>
    </row>
    <row r="64" spans="1:5" ht="12.75">
      <c r="A64" s="54"/>
      <c r="D64" s="51"/>
      <c r="E64" s="51"/>
    </row>
    <row r="65" spans="1:5" ht="12.75">
      <c r="A65" s="54"/>
      <c r="D65" s="51"/>
      <c r="E65" s="51"/>
    </row>
    <row r="66" spans="1:5" ht="12.75">
      <c r="A66" s="54"/>
      <c r="D66" s="51"/>
      <c r="E66" s="51"/>
    </row>
    <row r="67" spans="1:5" ht="12.75">
      <c r="A67" s="54"/>
      <c r="D67" s="51"/>
      <c r="E67" s="51"/>
    </row>
    <row r="68" spans="1:5" ht="12.75">
      <c r="A68" s="54"/>
      <c r="D68" s="51"/>
      <c r="E68" s="51"/>
    </row>
    <row r="69" spans="1:5" ht="12.75">
      <c r="A69" s="54"/>
      <c r="D69" s="51"/>
      <c r="E69" s="51"/>
    </row>
    <row r="70" spans="1:5" ht="12.75">
      <c r="A70" s="54"/>
      <c r="D70" s="51"/>
      <c r="E70" s="51"/>
    </row>
    <row r="71" spans="1:5" ht="12.75">
      <c r="A71" s="54"/>
      <c r="D71" s="51"/>
      <c r="E71" s="51"/>
    </row>
    <row r="72" spans="1:5" ht="12.75">
      <c r="A72" s="54"/>
      <c r="D72" s="51"/>
      <c r="E72" s="51"/>
    </row>
    <row r="73" spans="1:5" ht="12.75">
      <c r="A73" s="54"/>
      <c r="D73" s="51"/>
      <c r="E73" s="51"/>
    </row>
    <row r="74" spans="1:5" ht="12.75">
      <c r="A74" s="54"/>
      <c r="D74" s="51"/>
      <c r="E74" s="51"/>
    </row>
    <row r="75" spans="1:5" ht="12.75">
      <c r="A75" s="54"/>
      <c r="D75" s="51"/>
      <c r="E75" s="51"/>
    </row>
    <row r="76" spans="1:5" ht="12.75">
      <c r="A76" s="54"/>
      <c r="D76" s="51"/>
      <c r="E76" s="51"/>
    </row>
    <row r="77" spans="1:5" ht="12.75">
      <c r="A77" s="54"/>
      <c r="D77" s="51"/>
      <c r="E77" s="51"/>
    </row>
    <row r="78" spans="1:5" ht="12.75">
      <c r="A78" s="54"/>
      <c r="D78" s="51"/>
      <c r="E78" s="51"/>
    </row>
    <row r="79" spans="1:5" ht="12.75">
      <c r="A79" s="54"/>
      <c r="D79" s="51"/>
      <c r="E79" s="51"/>
    </row>
    <row r="80" spans="1:5" ht="12.75">
      <c r="A80" s="54"/>
      <c r="D80" s="51"/>
      <c r="E80" s="51"/>
    </row>
    <row r="81" spans="1:5" ht="12.75">
      <c r="A81" s="54"/>
      <c r="D81" s="51"/>
      <c r="E81" s="51"/>
    </row>
    <row r="82" spans="1:5" ht="12.75">
      <c r="A82" s="54"/>
      <c r="D82" s="51"/>
      <c r="E82" s="51"/>
    </row>
    <row r="83" spans="1:5" ht="12.75">
      <c r="A83" s="54"/>
      <c r="D83" s="51"/>
      <c r="E83" s="51"/>
    </row>
    <row r="84" spans="1:5" ht="12.75">
      <c r="A84" s="54"/>
      <c r="D84" s="51"/>
      <c r="E84" s="51"/>
    </row>
    <row r="85" spans="1:5" ht="12.75">
      <c r="A85" s="54"/>
      <c r="D85" s="51"/>
      <c r="E85" s="51"/>
    </row>
    <row r="86" spans="1:5" ht="12.75">
      <c r="A86" s="54"/>
      <c r="D86" s="51"/>
      <c r="E86" s="51"/>
    </row>
    <row r="87" spans="1:5" ht="12.75">
      <c r="A87" s="54"/>
      <c r="D87" s="51"/>
      <c r="E87" s="51"/>
    </row>
    <row r="88" spans="1:5" ht="12.75">
      <c r="A88" s="54"/>
      <c r="D88" s="51"/>
      <c r="E88" s="51"/>
    </row>
    <row r="89" spans="1:5" ht="12.75">
      <c r="A89" s="54"/>
      <c r="D89" s="51"/>
      <c r="E89" s="51"/>
    </row>
    <row r="90" spans="1:5" ht="12.75">
      <c r="A90" s="54"/>
      <c r="D90" s="51"/>
      <c r="E90" s="51"/>
    </row>
    <row r="91" spans="1:5" ht="12.75">
      <c r="A91" s="54"/>
      <c r="D91" s="51"/>
      <c r="E91" s="51"/>
    </row>
    <row r="92" spans="1:5" ht="12.75">
      <c r="A92" s="54"/>
      <c r="D92" s="51"/>
      <c r="E92" s="51"/>
    </row>
    <row r="93" spans="1:5" ht="12.75">
      <c r="A93" s="54"/>
      <c r="D93" s="51"/>
      <c r="E93" s="51"/>
    </row>
    <row r="94" spans="1:5" ht="12.75">
      <c r="A94" s="54"/>
      <c r="D94" s="51"/>
      <c r="E94" s="51"/>
    </row>
    <row r="95" spans="1:5" ht="12.75">
      <c r="A95" s="54"/>
      <c r="D95" s="51"/>
      <c r="E95" s="51"/>
    </row>
    <row r="96" spans="1:5" ht="12.75">
      <c r="A96" s="54"/>
      <c r="D96" s="51"/>
      <c r="E96" s="51"/>
    </row>
    <row r="97" spans="1:5" ht="12.75">
      <c r="A97" s="54"/>
      <c r="D97" s="51"/>
      <c r="E97" s="51"/>
    </row>
    <row r="98" spans="1:5" ht="12.75">
      <c r="A98" s="54"/>
      <c r="D98" s="51"/>
      <c r="E98" s="51"/>
    </row>
    <row r="99" spans="1:5" ht="12.75">
      <c r="A99" s="54"/>
      <c r="D99" s="51"/>
      <c r="E99" s="51"/>
    </row>
    <row r="100" spans="1:5" ht="12.75">
      <c r="A100" s="54"/>
      <c r="D100" s="51"/>
      <c r="E100" s="51"/>
    </row>
    <row r="101" spans="1:5" ht="12.75">
      <c r="A101" s="54"/>
      <c r="D101" s="51"/>
      <c r="E101" s="51"/>
    </row>
    <row r="102" spans="1:5" ht="12.75">
      <c r="A102" s="54"/>
      <c r="D102" s="51"/>
      <c r="E102" s="51"/>
    </row>
    <row r="103" spans="1:5" ht="12.75">
      <c r="A103" s="54"/>
      <c r="D103" s="51"/>
      <c r="E103" s="51"/>
    </row>
    <row r="104" spans="1:5" ht="12.75">
      <c r="A104" s="54"/>
      <c r="D104" s="51"/>
      <c r="E104" s="51"/>
    </row>
    <row r="105" spans="1:5" ht="12.75">
      <c r="A105" s="54"/>
      <c r="D105" s="51"/>
      <c r="E105" s="51"/>
    </row>
    <row r="106" spans="1:5" ht="12.75">
      <c r="A106" s="54"/>
      <c r="D106" s="51"/>
      <c r="E106" s="51"/>
    </row>
    <row r="107" spans="1:5" ht="12.75">
      <c r="A107" s="54"/>
      <c r="D107" s="51"/>
      <c r="E107" s="51"/>
    </row>
    <row r="108" spans="1:5" ht="12.75">
      <c r="A108" s="54"/>
      <c r="D108" s="51"/>
      <c r="E108" s="51"/>
    </row>
    <row r="109" spans="1:5" ht="12.75">
      <c r="A109" s="54"/>
      <c r="D109" s="51"/>
      <c r="E109" s="51"/>
    </row>
    <row r="110" spans="1:5" ht="12.75">
      <c r="A110" s="54"/>
      <c r="D110" s="51"/>
      <c r="E110" s="51"/>
    </row>
    <row r="111" spans="1:5" ht="12.75">
      <c r="A111" s="54"/>
      <c r="D111" s="51"/>
      <c r="E111" s="51"/>
    </row>
    <row r="112" spans="1:5" ht="12.75">
      <c r="A112" s="54"/>
      <c r="D112" s="51"/>
      <c r="E112" s="51"/>
    </row>
    <row r="113" spans="1:5" ht="12.75">
      <c r="A113" s="54"/>
      <c r="D113" s="51"/>
      <c r="E113" s="51"/>
    </row>
    <row r="114" spans="1:5" ht="12.75">
      <c r="A114" s="54"/>
      <c r="D114" s="51"/>
      <c r="E114" s="51"/>
    </row>
    <row r="115" spans="1:5" ht="12.75">
      <c r="A115" s="54"/>
      <c r="D115" s="51"/>
      <c r="E115" s="51"/>
    </row>
    <row r="116" spans="1:5" ht="12.75">
      <c r="A116" s="54"/>
      <c r="D116" s="51"/>
      <c r="E116" s="51"/>
    </row>
    <row r="117" spans="1:5" ht="12.75">
      <c r="A117" s="54"/>
      <c r="D117" s="51"/>
      <c r="E117" s="51"/>
    </row>
    <row r="118" spans="1:5" ht="12.75">
      <c r="A118" s="54"/>
      <c r="D118" s="51"/>
      <c r="E118" s="51"/>
    </row>
    <row r="119" spans="1:5" ht="12.75">
      <c r="A119" s="54"/>
      <c r="D119" s="51"/>
      <c r="E119" s="51"/>
    </row>
    <row r="120" spans="1:5" ht="12.75">
      <c r="A120" s="54"/>
      <c r="D120" s="51"/>
      <c r="E120" s="51"/>
    </row>
    <row r="121" spans="1:5" ht="12.75">
      <c r="A121" s="54"/>
      <c r="D121" s="51"/>
      <c r="E121" s="51"/>
    </row>
    <row r="122" spans="1:5" ht="12.75">
      <c r="A122" s="54"/>
      <c r="D122" s="51"/>
      <c r="E122" s="51"/>
    </row>
    <row r="123" spans="1:5" ht="12.75">
      <c r="A123" s="54"/>
      <c r="D123" s="51"/>
      <c r="E123" s="51"/>
    </row>
    <row r="124" spans="1:5" ht="12.75">
      <c r="A124" s="54"/>
      <c r="D124" s="51"/>
      <c r="E124" s="51"/>
    </row>
    <row r="125" spans="1:5" ht="12.75">
      <c r="A125" s="54"/>
      <c r="D125" s="51"/>
      <c r="E125" s="51"/>
    </row>
    <row r="126" spans="1:5" ht="12.75">
      <c r="A126" s="54"/>
      <c r="D126" s="51"/>
      <c r="E126" s="51"/>
    </row>
    <row r="127" spans="1:5" ht="12.75">
      <c r="A127" s="51"/>
      <c r="D127" s="51"/>
      <c r="E127" s="51"/>
    </row>
    <row r="128" spans="1:5" ht="12.75">
      <c r="A128" s="51"/>
      <c r="D128" s="51"/>
      <c r="E128" s="51"/>
    </row>
    <row r="129" spans="1:5" ht="12.75">
      <c r="A129" s="51"/>
      <c r="D129" s="51"/>
      <c r="E129" s="51"/>
    </row>
    <row r="130" spans="1:5" ht="12.75">
      <c r="A130" s="51"/>
      <c r="D130" s="51"/>
      <c r="E130" s="51"/>
    </row>
    <row r="131" spans="1:5" ht="12.75">
      <c r="A131" s="51"/>
      <c r="D131" s="51"/>
      <c r="E131" s="51"/>
    </row>
    <row r="132" spans="1:5" ht="12.75">
      <c r="A132" s="51"/>
      <c r="D132" s="51"/>
      <c r="E132" s="51"/>
    </row>
    <row r="133" spans="1:5" ht="12.75">
      <c r="A133" s="51"/>
      <c r="D133" s="51"/>
      <c r="E133" s="51"/>
    </row>
    <row r="134" spans="1:5" ht="12.75">
      <c r="A134" s="51"/>
      <c r="D134" s="51"/>
      <c r="E134" s="51"/>
    </row>
    <row r="135" spans="1:5" ht="12.75">
      <c r="A135" s="51"/>
      <c r="D135" s="51"/>
      <c r="E135" s="51"/>
    </row>
    <row r="136" spans="1:5" ht="12.75">
      <c r="A136" s="51"/>
      <c r="D136" s="51"/>
      <c r="E136" s="51"/>
    </row>
    <row r="137" spans="1:5" ht="12.75">
      <c r="A137" s="51"/>
      <c r="D137" s="51"/>
      <c r="E137" s="51"/>
    </row>
    <row r="138" spans="1:5" ht="12.75">
      <c r="A138" s="51"/>
      <c r="D138" s="51"/>
      <c r="E138" s="51"/>
    </row>
    <row r="139" spans="1:5" ht="12.75">
      <c r="A139" s="51"/>
      <c r="D139" s="51"/>
      <c r="E139" s="51"/>
    </row>
    <row r="140" spans="1:5" ht="12.75">
      <c r="A140" s="51"/>
      <c r="D140" s="51"/>
      <c r="E140" s="51"/>
    </row>
    <row r="141" spans="1:5" ht="12.75">
      <c r="A141" s="51"/>
      <c r="D141" s="51"/>
      <c r="E141" s="51"/>
    </row>
    <row r="142" spans="1:5" ht="12.75">
      <c r="A142" s="51"/>
      <c r="D142" s="51"/>
      <c r="E142" s="51"/>
    </row>
    <row r="143" spans="1:5" ht="12.75">
      <c r="A143" s="51"/>
      <c r="D143" s="51"/>
      <c r="E143" s="51"/>
    </row>
    <row r="144" spans="1:5" ht="12.75">
      <c r="A144" s="51"/>
      <c r="D144" s="51"/>
      <c r="E144" s="51"/>
    </row>
    <row r="145" spans="1:5" ht="12.75">
      <c r="A145" s="51"/>
      <c r="D145" s="51"/>
      <c r="E145" s="51"/>
    </row>
    <row r="146" spans="1:5" ht="12.75">
      <c r="A146" s="51"/>
      <c r="D146" s="51"/>
      <c r="E146" s="51"/>
    </row>
    <row r="147" spans="1:5" ht="12.75">
      <c r="A147" s="51"/>
      <c r="D147" s="51"/>
      <c r="E147" s="51"/>
    </row>
    <row r="148" spans="1:5" ht="12.75">
      <c r="A148" s="51"/>
      <c r="D148" s="51"/>
      <c r="E148" s="51"/>
    </row>
    <row r="149" spans="1:5" ht="12.75">
      <c r="A149" s="51"/>
      <c r="D149" s="51"/>
      <c r="E149" s="51"/>
    </row>
    <row r="150" spans="1:5" ht="12.75">
      <c r="A150" s="51"/>
      <c r="D150" s="51"/>
      <c r="E150" s="51"/>
    </row>
    <row r="151" spans="1:5" ht="12.75">
      <c r="A151" s="51"/>
      <c r="D151" s="51"/>
      <c r="E151" s="51"/>
    </row>
    <row r="152" spans="1:5" ht="12.75">
      <c r="A152" s="51"/>
      <c r="D152" s="51"/>
      <c r="E152" s="51"/>
    </row>
    <row r="153" spans="1:5" ht="12.75">
      <c r="A153" s="51"/>
      <c r="D153" s="51"/>
      <c r="E153" s="51"/>
    </row>
    <row r="154" spans="1:5" ht="12.75">
      <c r="A154" s="51"/>
      <c r="D154" s="51"/>
      <c r="E154" s="51"/>
    </row>
    <row r="155" spans="1:5" ht="12.75">
      <c r="A155" s="51"/>
      <c r="D155" s="51"/>
      <c r="E155" s="51"/>
    </row>
    <row r="156" spans="1:5" ht="12.75">
      <c r="A156" s="51"/>
      <c r="D156" s="51"/>
      <c r="E156" s="51"/>
    </row>
    <row r="157" spans="1:5" ht="12.75">
      <c r="A157" s="51"/>
      <c r="D157" s="51"/>
      <c r="E157" s="51"/>
    </row>
    <row r="158" spans="1:5" ht="12.75">
      <c r="A158" s="51"/>
      <c r="D158" s="51"/>
      <c r="E158" s="51"/>
    </row>
    <row r="159" spans="1:5" ht="12.75">
      <c r="A159" s="51"/>
      <c r="D159" s="51"/>
      <c r="E159" s="51"/>
    </row>
    <row r="160" spans="1:5" ht="12.75">
      <c r="A160" s="51"/>
      <c r="D160" s="51"/>
      <c r="E160" s="51"/>
    </row>
    <row r="161" spans="1:5" ht="12.75">
      <c r="A161" s="51"/>
      <c r="D161" s="51"/>
      <c r="E161" s="51"/>
    </row>
    <row r="162" spans="1:5" ht="12.75">
      <c r="A162" s="51"/>
      <c r="D162" s="51"/>
      <c r="E162" s="51"/>
    </row>
    <row r="163" spans="1:5" ht="12.75">
      <c r="A163" s="51"/>
      <c r="D163" s="51"/>
      <c r="E163" s="51"/>
    </row>
    <row r="164" spans="1:5" ht="12.75">
      <c r="A164" s="51"/>
      <c r="D164" s="51"/>
      <c r="E164" s="51"/>
    </row>
    <row r="165" spans="1:5" ht="12.75">
      <c r="A165" s="51"/>
      <c r="D165" s="51"/>
      <c r="E165" s="51"/>
    </row>
    <row r="166" spans="1:5" ht="12.75">
      <c r="A166" s="51"/>
      <c r="D166" s="51"/>
      <c r="E166" s="51"/>
    </row>
    <row r="167" spans="1:5" ht="12.75">
      <c r="A167" s="51"/>
      <c r="D167" s="51"/>
      <c r="E167" s="51"/>
    </row>
    <row r="168" spans="1:5" ht="12.75">
      <c r="A168" s="51"/>
      <c r="D168" s="51"/>
      <c r="E168" s="51"/>
    </row>
    <row r="169" spans="1:5" ht="12.75">
      <c r="A169" s="51"/>
      <c r="D169" s="51"/>
      <c r="E169" s="51"/>
    </row>
    <row r="170" spans="1:5" ht="12.75">
      <c r="A170" s="51"/>
      <c r="D170" s="51"/>
      <c r="E170" s="51"/>
    </row>
    <row r="171" spans="1:5" ht="12.75">
      <c r="A171" s="51"/>
      <c r="D171" s="51"/>
      <c r="E171" s="51"/>
    </row>
    <row r="172" spans="1:5" ht="12.75">
      <c r="A172" s="51"/>
      <c r="D172" s="51"/>
      <c r="E172" s="51"/>
    </row>
    <row r="173" spans="1:5" ht="12.75">
      <c r="A173" s="51"/>
      <c r="D173" s="51"/>
      <c r="E173" s="51"/>
    </row>
    <row r="174" spans="1:5" ht="12.75">
      <c r="A174" s="51"/>
      <c r="D174" s="51"/>
      <c r="E174" s="51"/>
    </row>
    <row r="175" spans="1:5" ht="12.75">
      <c r="A175" s="51"/>
      <c r="D175" s="51"/>
      <c r="E175" s="51"/>
    </row>
    <row r="176" spans="1:5" ht="12.75">
      <c r="A176" s="51"/>
      <c r="D176" s="51"/>
      <c r="E176" s="51"/>
    </row>
    <row r="177" spans="1:5" ht="12.75">
      <c r="A177" s="51"/>
      <c r="D177" s="51"/>
      <c r="E177" s="51"/>
    </row>
    <row r="178" spans="1:5" ht="12.75">
      <c r="A178" s="51"/>
      <c r="D178" s="51"/>
      <c r="E178" s="51"/>
    </row>
    <row r="179" spans="1:5" ht="12.75">
      <c r="A179" s="51"/>
      <c r="D179" s="51"/>
      <c r="E179" s="51"/>
    </row>
    <row r="180" spans="1:5" ht="12.75">
      <c r="A180" s="51"/>
      <c r="D180" s="51"/>
      <c r="E180" s="51"/>
    </row>
    <row r="181" spans="1:5" ht="12.75">
      <c r="A181" s="51"/>
      <c r="D181" s="51"/>
      <c r="E181" s="51"/>
    </row>
    <row r="182" spans="1:5" ht="12.75">
      <c r="A182" s="51"/>
      <c r="D182" s="51"/>
      <c r="E182" s="51"/>
    </row>
    <row r="183" spans="1:5" ht="12.75">
      <c r="A183" s="51"/>
      <c r="D183" s="51"/>
      <c r="E183" s="51"/>
    </row>
    <row r="184" spans="1:5" ht="12.75">
      <c r="A184" s="51"/>
      <c r="D184" s="51"/>
      <c r="E184" s="51"/>
    </row>
    <row r="185" spans="1:5" ht="12.75">
      <c r="A185" s="51"/>
      <c r="D185" s="51"/>
      <c r="E185" s="51"/>
    </row>
    <row r="186" spans="1:5" ht="12.75">
      <c r="A186" s="51"/>
      <c r="D186" s="51"/>
      <c r="E186" s="51"/>
    </row>
    <row r="187" spans="1:5" ht="12.75">
      <c r="A187" s="51"/>
      <c r="D187" s="51"/>
      <c r="E187" s="51"/>
    </row>
    <row r="188" spans="1:5" ht="12.75">
      <c r="A188" s="51"/>
      <c r="D188" s="51"/>
      <c r="E188" s="51"/>
    </row>
    <row r="189" spans="1:5" ht="12.75">
      <c r="A189" s="51"/>
      <c r="D189" s="51"/>
      <c r="E189" s="51"/>
    </row>
    <row r="190" spans="1:5" ht="12.75">
      <c r="A190" s="51"/>
      <c r="D190" s="51"/>
      <c r="E190" s="51"/>
    </row>
    <row r="191" spans="1:5" ht="12.75">
      <c r="A191" s="51"/>
      <c r="D191" s="51"/>
      <c r="E191" s="51"/>
    </row>
    <row r="192" spans="1:5" ht="12.75">
      <c r="A192" s="51"/>
      <c r="D192" s="51"/>
      <c r="E192" s="51"/>
    </row>
    <row r="193" spans="1:5" ht="12.75">
      <c r="A193" s="51"/>
      <c r="D193" s="51"/>
      <c r="E193" s="51"/>
    </row>
    <row r="194" spans="1:5" ht="12.75">
      <c r="A194" s="51"/>
      <c r="D194" s="51"/>
      <c r="E194" s="51"/>
    </row>
    <row r="195" spans="1:5" ht="12.75">
      <c r="A195" s="51"/>
      <c r="D195" s="51"/>
      <c r="E195" s="51"/>
    </row>
    <row r="196" spans="1:5" ht="12.75">
      <c r="A196" s="51"/>
      <c r="D196" s="51"/>
      <c r="E196" s="51"/>
    </row>
    <row r="197" spans="1:5" ht="12.75">
      <c r="A197" s="51"/>
      <c r="D197" s="51"/>
      <c r="E197" s="51"/>
    </row>
    <row r="198" spans="1:5" ht="12.75">
      <c r="A198" s="51"/>
      <c r="D198" s="51"/>
      <c r="E198" s="51"/>
    </row>
    <row r="199" spans="1:5" ht="12.75">
      <c r="A199" s="51"/>
      <c r="D199" s="51"/>
      <c r="E199" s="51"/>
    </row>
    <row r="200" spans="1:5" ht="12.75">
      <c r="A200" s="51"/>
      <c r="D200" s="51"/>
      <c r="E200" s="51"/>
    </row>
    <row r="201" spans="1:5" ht="12.75">
      <c r="A201" s="51"/>
      <c r="D201" s="51"/>
      <c r="E201" s="51"/>
    </row>
    <row r="202" spans="1:5" ht="12.75">
      <c r="A202" s="51"/>
      <c r="D202" s="51"/>
      <c r="E202" s="51"/>
    </row>
    <row r="203" spans="1:5" ht="12.75">
      <c r="A203" s="51"/>
      <c r="D203" s="51"/>
      <c r="E203" s="51"/>
    </row>
    <row r="204" spans="1:5" ht="12.75">
      <c r="A204" s="51"/>
      <c r="D204" s="51"/>
      <c r="E204" s="51"/>
    </row>
    <row r="205" spans="1:5" ht="12.75">
      <c r="A205" s="51"/>
      <c r="D205" s="51"/>
      <c r="E205" s="51"/>
    </row>
    <row r="206" spans="1:5" ht="12.75">
      <c r="A206" s="51"/>
      <c r="D206" s="51"/>
      <c r="E206" s="51"/>
    </row>
    <row r="207" spans="1:5" ht="12.75">
      <c r="A207" s="51"/>
      <c r="D207" s="51"/>
      <c r="E207" s="51"/>
    </row>
    <row r="208" spans="1:5" ht="12.75">
      <c r="A208" s="51"/>
      <c r="D208" s="51"/>
      <c r="E208" s="51"/>
    </row>
    <row r="209" spans="1:5" ht="12.75">
      <c r="A209" s="51"/>
      <c r="D209" s="51"/>
      <c r="E209" s="51"/>
    </row>
    <row r="210" spans="1:5" ht="12.75">
      <c r="A210" s="51"/>
      <c r="D210" s="51"/>
      <c r="E210" s="51"/>
    </row>
    <row r="211" spans="1:5" ht="12.75">
      <c r="A211" s="51"/>
      <c r="D211" s="51"/>
      <c r="E211" s="51"/>
    </row>
    <row r="212" spans="1:5" ht="12.75">
      <c r="A212" s="51"/>
      <c r="D212" s="51"/>
      <c r="E212" s="51"/>
    </row>
    <row r="213" spans="1:5" ht="12.75">
      <c r="A213" s="51"/>
      <c r="D213" s="51"/>
      <c r="E213" s="51"/>
    </row>
    <row r="214" spans="1:5" ht="12.75">
      <c r="A214" s="51"/>
      <c r="D214" s="51"/>
      <c r="E214" s="51"/>
    </row>
    <row r="215" spans="1:5" ht="12.75">
      <c r="A215" s="51"/>
      <c r="D215" s="51"/>
      <c r="E215" s="51"/>
    </row>
    <row r="216" spans="1:5" ht="12.75">
      <c r="A216" s="51"/>
      <c r="D216" s="51"/>
      <c r="E216" s="51"/>
    </row>
    <row r="217" spans="1:5" ht="12.75">
      <c r="A217" s="51"/>
      <c r="D217" s="51"/>
      <c r="E217" s="51"/>
    </row>
    <row r="218" spans="1:5" ht="12.75">
      <c r="A218" s="51"/>
      <c r="D218" s="51"/>
      <c r="E218" s="51"/>
    </row>
    <row r="219" spans="1:5" ht="12.75">
      <c r="A219" s="51"/>
      <c r="D219" s="51"/>
      <c r="E219" s="51"/>
    </row>
    <row r="220" spans="1:5" ht="12.75">
      <c r="A220" s="51"/>
      <c r="D220" s="51"/>
      <c r="E220" s="51"/>
    </row>
    <row r="221" spans="1:5" ht="12.75">
      <c r="A221" s="51"/>
      <c r="D221" s="51"/>
      <c r="E221" s="51"/>
    </row>
    <row r="222" spans="1:5" ht="12.75">
      <c r="A222" s="51"/>
      <c r="D222" s="51"/>
      <c r="E222" s="51"/>
    </row>
    <row r="223" spans="1:5" ht="12.75">
      <c r="A223" s="51"/>
      <c r="D223" s="51"/>
      <c r="E223" s="51"/>
    </row>
    <row r="224" spans="1:5" ht="12.75">
      <c r="A224" s="51"/>
      <c r="D224" s="51"/>
      <c r="E224" s="51"/>
    </row>
    <row r="225" spans="1:5" ht="12.75">
      <c r="A225" s="51"/>
      <c r="D225" s="51"/>
      <c r="E225" s="51"/>
    </row>
    <row r="226" spans="1:5" ht="12.75">
      <c r="A226" s="51"/>
      <c r="D226" s="51"/>
      <c r="E226" s="51"/>
    </row>
    <row r="227" spans="1:5" ht="12.75">
      <c r="A227" s="51"/>
      <c r="D227" s="51"/>
      <c r="E227" s="51"/>
    </row>
    <row r="228" spans="1:5" ht="12.75">
      <c r="A228" s="51"/>
      <c r="D228" s="51"/>
      <c r="E228" s="51"/>
    </row>
    <row r="229" spans="1:5" ht="12.75">
      <c r="A229" s="51"/>
      <c r="D229" s="51"/>
      <c r="E229" s="51"/>
    </row>
    <row r="230" spans="1:5" ht="12.75">
      <c r="A230" s="51"/>
      <c r="D230" s="51"/>
      <c r="E230" s="51"/>
    </row>
    <row r="231" spans="1:5" ht="12.75">
      <c r="A231" s="51"/>
      <c r="D231" s="51"/>
      <c r="E231" s="51"/>
    </row>
    <row r="232" spans="1:5" ht="12.75">
      <c r="A232" s="51"/>
      <c r="D232" s="51"/>
      <c r="E232" s="51"/>
    </row>
    <row r="233" spans="1:5" ht="12.75">
      <c r="A233" s="51"/>
      <c r="D233" s="51"/>
      <c r="E233" s="51"/>
    </row>
    <row r="234" spans="1:5" ht="12.75">
      <c r="A234" s="51"/>
      <c r="D234" s="51"/>
      <c r="E234" s="51"/>
    </row>
    <row r="235" spans="1:5" ht="12.75">
      <c r="A235" s="51"/>
      <c r="D235" s="51"/>
      <c r="E235" s="51"/>
    </row>
    <row r="236" spans="1:5" ht="12.75">
      <c r="A236" s="51"/>
      <c r="D236" s="51"/>
      <c r="E236" s="51"/>
    </row>
    <row r="237" spans="1:5" ht="12.75">
      <c r="A237" s="51"/>
      <c r="D237" s="51"/>
      <c r="E237" s="51"/>
    </row>
    <row r="238" spans="1:5" ht="12.75">
      <c r="A238" s="51"/>
      <c r="D238" s="51"/>
      <c r="E238" s="51"/>
    </row>
  </sheetData>
  <sheetProtection sheet="1" objects="1" scenarios="1" selectLockedCells="1"/>
  <mergeCells count="84">
    <mergeCell ref="A39:B39"/>
    <mergeCell ref="D39:E39"/>
    <mergeCell ref="B1:F1"/>
    <mergeCell ref="B2:F2"/>
    <mergeCell ref="B3:F3"/>
    <mergeCell ref="D4:F4"/>
    <mergeCell ref="A7:G7"/>
    <mergeCell ref="A24:G24"/>
    <mergeCell ref="A33:G33"/>
    <mergeCell ref="G4:H4"/>
    <mergeCell ref="AE8:AE9"/>
    <mergeCell ref="AF8:AF9"/>
    <mergeCell ref="AA8:AA9"/>
    <mergeCell ref="AB8:AB9"/>
    <mergeCell ref="AC8:AC9"/>
    <mergeCell ref="AD8:AD9"/>
    <mergeCell ref="AA14:AA15"/>
    <mergeCell ref="AB14:AB15"/>
    <mergeCell ref="AA12:AA13"/>
    <mergeCell ref="AB12:AB13"/>
    <mergeCell ref="AC12:AC13"/>
    <mergeCell ref="AD12:AD13"/>
    <mergeCell ref="AF16:AF17"/>
    <mergeCell ref="AE20:AE21"/>
    <mergeCell ref="AF20:AF21"/>
    <mergeCell ref="AD16:AD17"/>
    <mergeCell ref="AE12:AE13"/>
    <mergeCell ref="AF12:AF13"/>
    <mergeCell ref="AA16:AA17"/>
    <mergeCell ref="AB16:AB17"/>
    <mergeCell ref="AC16:AC17"/>
    <mergeCell ref="AC20:AC21"/>
    <mergeCell ref="AD20:AD21"/>
    <mergeCell ref="AE16:AE17"/>
    <mergeCell ref="AA22:AA23"/>
    <mergeCell ref="AB22:AB23"/>
    <mergeCell ref="AE22:AE23"/>
    <mergeCell ref="AA18:AA19"/>
    <mergeCell ref="AB18:AB19"/>
    <mergeCell ref="AE18:AE19"/>
    <mergeCell ref="AC26:AC27"/>
    <mergeCell ref="AD26:AD27"/>
    <mergeCell ref="AE26:AE27"/>
    <mergeCell ref="AC24:AC25"/>
    <mergeCell ref="AD24:AD25"/>
    <mergeCell ref="AE24:AE25"/>
    <mergeCell ref="AE28:AE29"/>
    <mergeCell ref="AE30:AE31"/>
    <mergeCell ref="AE32:AE33"/>
    <mergeCell ref="AA20:AA21"/>
    <mergeCell ref="AB20:AB21"/>
    <mergeCell ref="AA26:AA27"/>
    <mergeCell ref="AB26:AB27"/>
    <mergeCell ref="AA24:AA25"/>
    <mergeCell ref="AB24:AB25"/>
    <mergeCell ref="AC28:AC29"/>
    <mergeCell ref="AC34:AC35"/>
    <mergeCell ref="AD34:AD35"/>
    <mergeCell ref="AA30:AA31"/>
    <mergeCell ref="AB30:AB31"/>
    <mergeCell ref="AC30:AC31"/>
    <mergeCell ref="AD30:AD31"/>
    <mergeCell ref="AC32:AC33"/>
    <mergeCell ref="AD32:AD33"/>
    <mergeCell ref="AB10:AB11"/>
    <mergeCell ref="AA10:AA11"/>
    <mergeCell ref="AA28:AA29"/>
    <mergeCell ref="AB28:AB29"/>
    <mergeCell ref="AD28:AD29"/>
    <mergeCell ref="AE34:AE35"/>
    <mergeCell ref="AA32:AA33"/>
    <mergeCell ref="AB32:AB33"/>
    <mergeCell ref="AA34:AA35"/>
    <mergeCell ref="AB34:AB35"/>
    <mergeCell ref="AE36:AE37"/>
    <mergeCell ref="AA38:AA39"/>
    <mergeCell ref="AB38:AB39"/>
    <mergeCell ref="AC38:AC39"/>
    <mergeCell ref="AD38:AD39"/>
    <mergeCell ref="AE38:AE39"/>
    <mergeCell ref="AA36:AA37"/>
    <mergeCell ref="AB36:AB37"/>
    <mergeCell ref="AC36:AC37"/>
    <mergeCell ref="AD36:AD37"/>
  </mergeCells>
  <conditionalFormatting sqref="A25:G32">
    <cfRule type="expression" priority="1" dxfId="10" stopIfTrue="1">
      <formula>$E$51=TRUE</formula>
    </cfRule>
    <cfRule type="expression" priority="2" dxfId="9" stopIfTrue="1">
      <formula>OR($G25="х",$G25="Х",$G25="x",$G25="X")</formula>
    </cfRule>
  </conditionalFormatting>
  <conditionalFormatting sqref="A8:G23">
    <cfRule type="expression" priority="3" dxfId="10" stopIfTrue="1">
      <formula>$E$50=TRUE</formula>
    </cfRule>
    <cfRule type="expression" priority="4" dxfId="9" stopIfTrue="1">
      <formula>OR($G8="х",$G8="Х",$G8="x",$G8="X")</formula>
    </cfRule>
  </conditionalFormatting>
  <conditionalFormatting sqref="A34:G37">
    <cfRule type="expression" priority="5" dxfId="10" stopIfTrue="1">
      <formula>$E$52=TRUE</formula>
    </cfRule>
    <cfRule type="expression" priority="6" dxfId="9" stopIfTrue="1">
      <formula>OR($G34="х",$G34="Х",$G34="x",$G34="X")</formula>
    </cfRule>
  </conditionalFormatting>
  <printOptions horizontalCentered="1"/>
  <pageMargins left="0.29" right="0.24" top="0.25" bottom="0.26" header="0.25" footer="0.26"/>
  <pageSetup fitToHeight="1" fitToWidth="1" horizontalDpi="600" verticalDpi="600" orientation="portrait" paperSize="9" scale="9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Эйдерман О.И.</dc:creator>
  <cp:keywords/>
  <dc:description/>
  <cp:lastModifiedBy>Гутова</cp:lastModifiedBy>
  <cp:lastPrinted>2016-05-06T06:54:09Z</cp:lastPrinted>
  <dcterms:created xsi:type="dcterms:W3CDTF">2005-01-20T08:43:05Z</dcterms:created>
  <dcterms:modified xsi:type="dcterms:W3CDTF">2016-05-06T06:55:52Z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