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105" windowWidth="15180" windowHeight="8835" activeTab="10"/>
  </bookViews>
  <sheets>
    <sheet name="Установка" sheetId="1" r:id="rId1"/>
    <sheet name="Общий список" sheetId="2" r:id="rId2"/>
    <sheet name="Регистрация ОТ" sheetId="3" r:id="rId3"/>
    <sheet name="ЗаписьПар" sheetId="4" r:id="rId4"/>
    <sheet name="Лист ожидания" sheetId="5" r:id="rId5"/>
    <sheet name="ПодгПар" sheetId="6" r:id="rId6"/>
    <sheet name="Пары32" sheetId="7" r:id="rId7"/>
    <sheet name="Пары24" sheetId="8" r:id="rId8"/>
    <sheet name="Пары16" sheetId="9" r:id="rId9"/>
    <sheet name="Пары12" sheetId="10" r:id="rId10"/>
    <sheet name="Пары8" sheetId="11" r:id="rId11"/>
    <sheet name="СписокПар" sheetId="12" r:id="rId12"/>
    <sheet name="Неявки"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'СписокПар'!#REF!</definedName>
    <definedName name="Z_431ADE6F_9C87_431C_B4A0_B27D4A052270_.wvu.Rows" localSheetId="9" hidden="1">'Пары12'!#REF!</definedName>
    <definedName name="Z_431ADE6F_9C87_431C_B4A0_B27D4A052270_.wvu.Rows" localSheetId="8" hidden="1">'Пары16'!#REF!</definedName>
    <definedName name="Z_431ADE6F_9C87_431C_B4A0_B27D4A052270_.wvu.Rows" localSheetId="7" hidden="1">'Пары24'!#REF!</definedName>
    <definedName name="Z_431ADE6F_9C87_431C_B4A0_B27D4A052270_.wvu.Rows" localSheetId="6" hidden="1">'Пары32'!#REF!</definedName>
    <definedName name="Z_431ADE6F_9C87_431C_B4A0_B27D4A052270_.wvu.Rows" localSheetId="10" hidden="1">'Пары8'!#REF!</definedName>
    <definedName name="Z_431ADE6F_9C87_431C_B4A0_B27D4A052270_.wvu.Rows" localSheetId="11" hidden="1">'СписокПар'!#REF!</definedName>
    <definedName name="Z_BAECDCB9_3EEB_4217_B35B_1C8089F9B5BB_.wvu.Cols" localSheetId="11" hidden="1">'СписокПар'!#REF!</definedName>
    <definedName name="Z_BAECDCB9_3EEB_4217_B35B_1C8089F9B5BB_.wvu.Rows" localSheetId="9" hidden="1">'Пары12'!#REF!</definedName>
    <definedName name="Z_BAECDCB9_3EEB_4217_B35B_1C8089F9B5BB_.wvu.Rows" localSheetId="8" hidden="1">'Пары16'!#REF!</definedName>
    <definedName name="Z_BAECDCB9_3EEB_4217_B35B_1C8089F9B5BB_.wvu.Rows" localSheetId="7" hidden="1">'Пары24'!#REF!</definedName>
    <definedName name="Z_BAECDCB9_3EEB_4217_B35B_1C8089F9B5BB_.wvu.Rows" localSheetId="6" hidden="1">'Пары32'!#REF!</definedName>
    <definedName name="Z_BAECDCB9_3EEB_4217_B35B_1C8089F9B5BB_.wvu.Rows" localSheetId="10" hidden="1">'Пары8'!#REF!</definedName>
    <definedName name="Z_BAECDCB9_3EEB_4217_B35B_1C8089F9B5BB_.wvu.Rows" localSheetId="11" hidden="1">'СписокПар'!#REF!</definedName>
    <definedName name="Z_F809504A_1B3D_4948_A071_6AE5F7F97D89_.wvu.Cols" localSheetId="11" hidden="1">'СписокПар'!#REF!</definedName>
    <definedName name="Z_F809504A_1B3D_4948_A071_6AE5F7F97D89_.wvu.Rows" localSheetId="9" hidden="1">'Пары12'!#REF!</definedName>
    <definedName name="Z_F809504A_1B3D_4948_A071_6AE5F7F97D89_.wvu.Rows" localSheetId="8" hidden="1">'Пары16'!#REF!</definedName>
    <definedName name="Z_F809504A_1B3D_4948_A071_6AE5F7F97D89_.wvu.Rows" localSheetId="7" hidden="1">'Пары24'!#REF!</definedName>
    <definedName name="Z_F809504A_1B3D_4948_A071_6AE5F7F97D89_.wvu.Rows" localSheetId="6" hidden="1">'Пары32'!#REF!</definedName>
    <definedName name="Z_F809504A_1B3D_4948_A071_6AE5F7F97D89_.wvu.Rows" localSheetId="10" hidden="1">'Пары8'!#REF!</definedName>
    <definedName name="Z_F809504A_1B3D_4948_A071_6AE5F7F97D89_.wvu.Rows" localSheetId="11" hidden="1">'СписокПар'!#REF!</definedName>
    <definedName name="_xlnm.Print_Titles" localSheetId="3">'ЗаписьПар'!$1:$13</definedName>
    <definedName name="_xlnm.Print_Titles" localSheetId="5">'ПодгПар'!$1:$5</definedName>
    <definedName name="_xlnm.Print_Area" localSheetId="4">'Лист ожидания'!$A$1:$U$57</definedName>
    <definedName name="_xlnm.Print_Area" localSheetId="1">'Общий список'!$A$1:$O$58</definedName>
    <definedName name="_xlnm.Print_Area" localSheetId="5">'ПодгПар'!$A$1:$M$37</definedName>
    <definedName name="_xlnm.Print_Area" localSheetId="2">'Регистрация ОТ'!$A$1:$U$44</definedName>
  </definedNames>
  <calcPr fullCalcOnLoad="1"/>
</workbook>
</file>

<file path=xl/sharedStrings.xml><?xml version="1.0" encoding="utf-8"?>
<sst xmlns="http://schemas.openxmlformats.org/spreadsheetml/2006/main" count="639" uniqueCount="216">
  <si>
    <t>(название турнира)</t>
  </si>
  <si>
    <t xml:space="preserve">в возрастной группе </t>
  </si>
  <si>
    <t>Место проведения:</t>
  </si>
  <si>
    <t>Сроки проведения:</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</si>
  <si>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</si>
  <si>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</si>
  <si>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</si>
  <si>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</si>
  <si>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</si>
  <si>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</si>
  <si>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</si>
  <si>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</si>
  <si>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</si>
  <si>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</si>
  <si>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</si>
  <si>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</si>
  <si>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</si>
  <si>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</si>
  <si>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</si>
  <si>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</si>
  <si>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</si>
  <si>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</si>
  <si>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</si>
  <si>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Суммарный рейтинг</t>
  </si>
  <si>
    <t>Фамилия, Имя, Отчество</t>
  </si>
  <si>
    <t>Длина ФИО</t>
  </si>
  <si>
    <t>Длина фамилии +1</t>
  </si>
  <si>
    <t>Длина ФИ +1</t>
  </si>
  <si>
    <t>Имя</t>
  </si>
  <si>
    <t>И.</t>
  </si>
  <si>
    <t>О.</t>
  </si>
  <si>
    <t>Место проведения</t>
  </si>
  <si>
    <t>Сроки проведения</t>
  </si>
  <si>
    <t>Категория, класс</t>
  </si>
  <si>
    <t>Фамилия И.О. игрока</t>
  </si>
  <si>
    <t>(страна)</t>
  </si>
  <si>
    <t>Однофамильцы</t>
  </si>
  <si>
    <t>ОБРАБОТКА 1-ГО ИГРОКА</t>
  </si>
  <si>
    <t>ОБРАБОТКА 2-ГО ИГРОКА</t>
  </si>
  <si>
    <t>Фамилия, имя, отчество игрока</t>
  </si>
  <si>
    <t>Дата рождения (день, месяц, год)</t>
  </si>
  <si>
    <t>Рег.№  игрока РТТ</t>
  </si>
  <si>
    <t>Классифи-кационные очки РТТ на</t>
  </si>
  <si>
    <t>Название турнира</t>
  </si>
  <si>
    <t>Возрастная группа</t>
  </si>
  <si>
    <t>Пол игроков</t>
  </si>
  <si>
    <t>DeadLine</t>
  </si>
  <si>
    <t>Дата классификации</t>
  </si>
  <si>
    <t>Главный судья</t>
  </si>
  <si>
    <t>Главный секретарь</t>
  </si>
  <si>
    <t>признак проведения жеребьевки квала</t>
  </si>
  <si>
    <t>признак проведения жеребьевки основы</t>
  </si>
  <si>
    <t>признак проведения жеребьевки пар</t>
  </si>
  <si>
    <t>признак проведения одной из жеребьевок</t>
  </si>
  <si>
    <t>9-10 лет</t>
  </si>
  <si>
    <t>10</t>
  </si>
  <si>
    <t>12</t>
  </si>
  <si>
    <t>14</t>
  </si>
  <si>
    <t>16</t>
  </si>
  <si>
    <t>18</t>
  </si>
  <si>
    <t>Взрослые</t>
  </si>
  <si>
    <t xml:space="preserve"> </t>
  </si>
  <si>
    <t>Ветераны</t>
  </si>
  <si>
    <t>Юноши/Мужчины</t>
  </si>
  <si>
    <t>Девушки/Женщины</t>
  </si>
  <si>
    <t>МТ</t>
  </si>
  <si>
    <t>ФТ</t>
  </si>
  <si>
    <t>I</t>
  </si>
  <si>
    <t>II</t>
  </si>
  <si>
    <t>III</t>
  </si>
  <si>
    <t>IV</t>
  </si>
  <si>
    <t>V</t>
  </si>
  <si>
    <t>VI</t>
  </si>
  <si>
    <t>А</t>
  </si>
  <si>
    <t>Б</t>
  </si>
  <si>
    <t>В</t>
  </si>
  <si>
    <t>Г</t>
  </si>
  <si>
    <t>ТАБЛИЦА ЛИЧНОГО ТУРНИРА РТТ на 32 пары</t>
  </si>
  <si>
    <t>ТАБЛИЦА ЛИЧНОГО ТУРНИРА РТТ на 16 пар</t>
  </si>
  <si>
    <t>ТАБЛИЦА ЛИЧНОГО ТУРНИРА РТТ на 8 пар</t>
  </si>
  <si>
    <t>СМ</t>
  </si>
  <si>
    <t>название турнира</t>
  </si>
  <si>
    <t>в возрастной группе</t>
  </si>
  <si>
    <t>Категория:</t>
  </si>
  <si>
    <t>Класс:</t>
  </si>
  <si>
    <t>Запись производится до</t>
  </si>
  <si>
    <t>в</t>
  </si>
  <si>
    <t>день недели</t>
  </si>
  <si>
    <t>дата</t>
  </si>
  <si>
    <t>время</t>
  </si>
  <si>
    <t>место</t>
  </si>
  <si>
    <t>Контактный телефон на время турнира</t>
  </si>
  <si>
    <t>Заполняется главным судьей</t>
  </si>
  <si>
    <t>Очки РТТ</t>
  </si>
  <si>
    <t>Приоритетный номер пары</t>
  </si>
  <si>
    <t>Статус пары в турнире</t>
  </si>
  <si>
    <t>Запись закрыта</t>
  </si>
  <si>
    <t>подпись</t>
  </si>
  <si>
    <t>Технические ячейки</t>
  </si>
  <si>
    <t>№ 1 пары</t>
  </si>
  <si>
    <t>№ 2 пары</t>
  </si>
  <si>
    <t>№ удал. пары</t>
  </si>
  <si>
    <t>№ пары СК</t>
  </si>
  <si>
    <t>ЛИСТ РЕГИСТРАЦИИ УЧАСТНИКОВ ТУРНИРА</t>
  </si>
  <si>
    <t>В ПАРНОМ ИЛИ СМЕШАННОМ РАЗРЯДЕ</t>
  </si>
  <si>
    <t xml:space="preserve">УПОРЯДОЧЕННЫЙ СПИСОК ИГРОКОВ ЛИЧНОГО ТУРНИРА РТТ </t>
  </si>
  <si>
    <t>в парном разряде</t>
  </si>
  <si>
    <t xml:space="preserve">№    п/п                </t>
  </si>
  <si>
    <r>
      <t>Город, страна</t>
    </r>
    <r>
      <rPr>
        <vertAlign val="superscript"/>
        <sz val="8"/>
        <rFont val="Arial Cyr"/>
        <family val="2"/>
      </rPr>
      <t xml:space="preserve"> </t>
    </r>
    <r>
      <rPr>
        <sz val="8"/>
        <rFont val="Arial Cyr"/>
        <family val="2"/>
      </rPr>
      <t>постоянного места жительства</t>
    </r>
  </si>
  <si>
    <t>СК</t>
  </si>
  <si>
    <t>Формат таблицы</t>
  </si>
  <si>
    <t>8 пар</t>
  </si>
  <si>
    <t>12 пар</t>
  </si>
  <si>
    <t>16 пар</t>
  </si>
  <si>
    <t>24 пары</t>
  </si>
  <si>
    <t>32 пары</t>
  </si>
  <si>
    <t>ТАБЛИЦА ЛИЧНОГО ТУРНИРА РТТ на 24 пары</t>
  </si>
  <si>
    <t>ТАБЛИЦА ЛИЧНОГО ТУРНИРА РТТ на 12 пар</t>
  </si>
  <si>
    <t>Рейтинг</t>
  </si>
  <si>
    <t>Фамилия, И.О. игрока</t>
  </si>
  <si>
    <t>Дата рожд.</t>
  </si>
  <si>
    <t>Оплата</t>
  </si>
  <si>
    <t>Поздняя заявка (если имеется, указать дату)</t>
  </si>
  <si>
    <t>Признак поздней заявки</t>
  </si>
  <si>
    <t>СК-основа</t>
  </si>
  <si>
    <t xml:space="preserve">ОБЩИЙ СПИСОК ПАР ТУРНИРА РТТ </t>
  </si>
  <si>
    <t>1-й игрок</t>
  </si>
  <si>
    <t>2-й игрок</t>
  </si>
  <si>
    <t>Свободная карта (если имеется, указать СК)</t>
  </si>
  <si>
    <t>Название турнира:</t>
  </si>
  <si>
    <t>Пол игроков:</t>
  </si>
  <si>
    <t>DeadLine:</t>
  </si>
  <si>
    <t>Классификация на:</t>
  </si>
  <si>
    <t>ФИО игрока</t>
  </si>
  <si>
    <t>Рег. номер</t>
  </si>
  <si>
    <t>Дата рождения</t>
  </si>
  <si>
    <t>Поздняя заявка (дата)</t>
  </si>
  <si>
    <t>Свободные карты</t>
  </si>
  <si>
    <t>Отметка о регистрации (х)</t>
  </si>
  <si>
    <t>СК1</t>
  </si>
  <si>
    <t>СК2</t>
  </si>
  <si>
    <t>СК3</t>
  </si>
  <si>
    <t>СК4</t>
  </si>
  <si>
    <t>СК5</t>
  </si>
  <si>
    <t>СК6</t>
  </si>
  <si>
    <t>Количество игроков в основной части ОТ</t>
  </si>
  <si>
    <t>Количество свободных карт в ОТ</t>
  </si>
  <si>
    <t>Всего игроков в ОТ</t>
  </si>
  <si>
    <t>Лист ожидания</t>
  </si>
  <si>
    <r>
      <t xml:space="preserve">Регистрация участников </t>
    </r>
    <r>
      <rPr>
        <b/>
        <i/>
        <sz val="12"/>
        <rFont val="Arial"/>
        <family val="2"/>
      </rPr>
      <t>парного турнира РТТ</t>
    </r>
  </si>
  <si>
    <t>Рейтинг для расстановки в таблице</t>
  </si>
  <si>
    <t>Суммарный рейтинг для расстановки в таблице</t>
  </si>
  <si>
    <t>Пар ОТ</t>
  </si>
  <si>
    <t>Основных пар ОТ</t>
  </si>
  <si>
    <t>Свободных карт</t>
  </si>
  <si>
    <t>Основных пар</t>
  </si>
  <si>
    <t>Суммарные КОРТТ</t>
  </si>
  <si>
    <t>Статусы</t>
  </si>
  <si>
    <t>Регистрация</t>
  </si>
  <si>
    <t xml:space="preserve">НЕЯВКА ИГРОКА НА ТУРНИР РТТ. </t>
  </si>
  <si>
    <t>№ п/п</t>
  </si>
  <si>
    <t>Рег.№</t>
  </si>
  <si>
    <t>Дата отказа от турнира или неявки на турнир</t>
  </si>
  <si>
    <t>Примечание</t>
  </si>
  <si>
    <t>Всего пар</t>
  </si>
  <si>
    <t>КОРТТ</t>
  </si>
  <si>
    <t>РАНЖИРОВАННЫЙ СПИСОК ПАР ТУРНИРА РТТ</t>
  </si>
  <si>
    <t>↔</t>
  </si>
  <si>
    <t>ПАРНЫЙ РАЗРЯД</t>
  </si>
  <si>
    <r>
      <t>СУММ.</t>
    </r>
    <r>
      <rPr>
        <b/>
        <sz val="10"/>
        <rFont val="Arial Cyr"/>
        <family val="0"/>
      </rPr>
      <t xml:space="preserve"> РЕЙТИНГ</t>
    </r>
  </si>
  <si>
    <t>Количество ПОЭ</t>
  </si>
  <si>
    <t>Статус</t>
  </si>
  <si>
    <t>Х</t>
  </si>
  <si>
    <t xml:space="preserve">проводимого по олимпийской системе </t>
  </si>
  <si>
    <t>Первенство Челябинской области</t>
  </si>
  <si>
    <t>Челябинск</t>
  </si>
  <si>
    <t>07-13.09.2015</t>
  </si>
  <si>
    <t>Зелингер М.М.</t>
  </si>
  <si>
    <t>Гутов К.Г.</t>
  </si>
  <si>
    <t>Андреева Валерия Максимовна</t>
  </si>
  <si>
    <t>Асфандиярова Карина Ильдаровна</t>
  </si>
  <si>
    <t>Борисенко Ярослава Владимировна</t>
  </si>
  <si>
    <t>Вялкова Анастасия Вячеславовна</t>
  </si>
  <si>
    <t>Горяинова Евгения Дмитриевна</t>
  </si>
  <si>
    <t>Добрыгина Арина Андреевна</t>
  </si>
  <si>
    <t>Дроздова Варвара Игоревна</t>
  </si>
  <si>
    <t>Забарчук Екатерина Алексеевна</t>
  </si>
  <si>
    <t>Иваненкова Анна Олеговна</t>
  </si>
  <si>
    <t>Ивановская Валерия Дмитриевна</t>
  </si>
  <si>
    <t>Казыханова Таисия Романовна</t>
  </si>
  <si>
    <t>Камалова Екатерина Ринатовна</t>
  </si>
  <si>
    <t>Коптева Дарья Андреевна</t>
  </si>
  <si>
    <t>Кутявина Синтия Евгеньевна</t>
  </si>
  <si>
    <t>Матвеева Елизавета Олеговна</t>
  </si>
  <si>
    <t>Местер Ева Константиновна</t>
  </si>
  <si>
    <t>Несветаева Мария Дмитриевна</t>
  </si>
  <si>
    <t>Панькова Яна Олеговна</t>
  </si>
  <si>
    <t>Первухина София Алексеевна</t>
  </si>
  <si>
    <t>Пойлова София Михайловна</t>
  </si>
  <si>
    <t>Сафронова Полина Сергеевна</t>
  </si>
  <si>
    <t>Симакова Валерия Алексеевна</t>
  </si>
  <si>
    <t>Студенникова Мария Сергеевна</t>
  </si>
  <si>
    <t>Таранова Валерия Алексеевна</t>
  </si>
  <si>
    <t>Трифонова Юлия Денисовна</t>
  </si>
  <si>
    <t>Урванцева Александра Антоновна</t>
  </si>
  <si>
    <t>Хабарова Анастасия Олеговна</t>
  </si>
  <si>
    <t>Тюмень</t>
  </si>
  <si>
    <t>Екатеринбург</t>
  </si>
  <si>
    <t>Нижневартовск</t>
  </si>
  <si>
    <t>Уфа</t>
  </si>
  <si>
    <t>х</t>
  </si>
  <si>
    <t>6/4 6/0</t>
  </si>
  <si>
    <t>7/6(5) 6/0</t>
  </si>
  <si>
    <t>6/2 6/4</t>
  </si>
  <si>
    <t>6/4 6/3</t>
  </si>
  <si>
    <t>6/4 6/2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</si>
</sst>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dd/mm/yy;@"/>
    <numFmt numFmtId="166" formatCode="0.000"/>
    <numFmt numFmtId="167" formatCode="#,##0[$р.-419]"/>
    <numFmt numFmtId="168" formatCode="#,##0&quot;р.&quot;"/>
    <numFmt numFmtId="169" formatCode="[$-FC19]d\ mmmm\ yyyy\ &quot;г.&quot;"/>
  </numFmts>
  <fonts count="9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name val="Arial"/>
      <family val="2"/>
    </font>
    <font>
      <sz val="12"/>
      <name val="Arial"/>
      <family val="2"/>
    </font>
    <font>
      <b/>
      <sz val="8"/>
      <name val="Arial"/>
      <family val="2"/>
    </font>
    <font>
      <b/>
      <sz val="8"/>
      <color indexed="8"/>
      <name val="Arial"/>
      <family val="2"/>
    </font>
    <font>
      <sz val="10"/>
      <name val="Arial"/>
      <family val="2"/>
    </font>
    <font>
      <sz val="10"/>
      <color indexed="9"/>
      <name val="Arial"/>
      <family val="2"/>
    </font>
    <font>
      <sz val="7"/>
      <color indexed="9"/>
      <name val="Arial"/>
      <family val="2"/>
    </font>
    <font>
      <sz val="9"/>
      <color indexed="9"/>
      <name val="Arial"/>
      <family val="2"/>
    </font>
    <font>
      <b/>
      <sz val="7"/>
      <color indexed="10"/>
      <name val="Arial Cyr"/>
      <family val="0"/>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vertAlign val="superscript"/>
      <sz val="8"/>
      <name val="Arial Cyr"/>
      <family val="2"/>
    </font>
    <font>
      <sz val="7"/>
      <name val="Arial Cyr"/>
      <family val="2"/>
    </font>
    <font>
      <b/>
      <sz val="10"/>
      <color indexed="8"/>
      <name val="Arial Cyr"/>
      <family val="0"/>
    </font>
    <font>
      <sz val="10"/>
      <color indexed="8"/>
      <name val="Arial Cyr"/>
      <family val="0"/>
    </font>
    <font>
      <sz val="9"/>
      <color indexed="8"/>
      <name val="Arial Cyr"/>
      <family val="0"/>
    </font>
    <font>
      <sz val="10"/>
      <color indexed="10"/>
      <name val="Arial Cyr"/>
      <family val="0"/>
    </font>
    <font>
      <sz val="8"/>
      <name val="Tahoma"/>
      <family val="2"/>
    </font>
    <font>
      <sz val="26"/>
      <name val="Arial Cyr"/>
      <family val="0"/>
    </font>
    <font>
      <u val="single"/>
      <sz val="10"/>
      <color indexed="8"/>
      <name val="Arial"/>
      <family val="2"/>
    </font>
    <font>
      <u val="single"/>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i/>
      <sz val="8"/>
      <color indexed="8"/>
      <name val="Arial"/>
      <family val="0"/>
    </font>
    <font>
      <b/>
      <sz val="9"/>
      <color indexed="18"/>
      <name val="ARIAL"/>
      <family val="0"/>
    </font>
    <font>
      <b/>
      <sz val="11"/>
      <color indexed="18"/>
      <name val="ARIAL"/>
      <family val="0"/>
    </font>
    <font>
      <b/>
      <sz val="10"/>
      <color indexed="18"/>
      <name val="ARIAL"/>
      <family val="0"/>
    </font>
    <font>
      <sz val="9"/>
      <color indexed="18"/>
      <name val="ARIAL"/>
      <family val="0"/>
    </font>
    <font>
      <sz val="10"/>
      <color indexed="18"/>
      <name val="ARIAL"/>
      <family val="0"/>
    </font>
    <font>
      <b/>
      <i/>
      <sz val="12"/>
      <name val="Arial"/>
      <family val="2"/>
    </font>
    <font>
      <b/>
      <i/>
      <sz val="12"/>
      <color indexed="8"/>
      <name val="Arial"/>
      <family val="0"/>
    </font>
    <font>
      <sz val="10"/>
      <color indexed="8"/>
      <name val="Arial"/>
      <family val="2"/>
    </font>
    <font>
      <b/>
      <sz val="9"/>
      <color indexed="18"/>
      <name val="Arial"/>
      <family val="2"/>
    </font>
    <font>
      <b/>
      <sz val="8"/>
      <color indexed="18"/>
      <name val="Arial"/>
      <family val="2"/>
    </font>
    <font>
      <sz val="12"/>
      <color indexed="8"/>
      <name val="ARIAL"/>
      <family val="0"/>
    </font>
    <font>
      <b/>
      <sz val="12"/>
      <color indexed="8"/>
      <name val="ARIAL"/>
      <family val="2"/>
    </font>
    <font>
      <b/>
      <sz val="10"/>
      <color indexed="23"/>
      <name val="Arial Cyr"/>
      <family val="0"/>
    </font>
    <font>
      <sz val="10"/>
      <color indexed="57"/>
      <name val="Arial Cyr"/>
      <family val="2"/>
    </font>
    <font>
      <sz val="12"/>
      <color indexed="57"/>
      <name val="Arial Cyr"/>
      <family val="2"/>
    </font>
    <font>
      <b/>
      <sz val="10"/>
      <color indexed="57"/>
      <name val="Arial"/>
      <family val="2"/>
    </font>
    <font>
      <b/>
      <u val="single"/>
      <sz val="12"/>
      <name val="Arial"/>
      <family val="2"/>
    </font>
    <font>
      <b/>
      <sz val="12"/>
      <color indexed="57"/>
      <name val="Arial"/>
      <family val="2"/>
    </font>
    <font>
      <b/>
      <sz val="10"/>
      <color indexed="57"/>
      <name val="Arial Cyr"/>
      <family val="2"/>
    </font>
    <font>
      <sz val="20"/>
      <name val="Arial Cyr"/>
      <family val="0"/>
    </font>
    <font>
      <sz val="14"/>
      <name val="Arial Cyr"/>
      <family val="0"/>
    </font>
    <font>
      <sz val="14"/>
      <color indexed="17"/>
      <name val="Arial Cyr"/>
      <family val="0"/>
    </font>
    <font>
      <b/>
      <sz val="14"/>
      <name val="Arial Cyr"/>
      <family val="2"/>
    </font>
    <font>
      <b/>
      <sz val="10"/>
      <color indexed="8"/>
      <name val="ARIAL"/>
      <family val="0"/>
    </font>
    <font>
      <sz val="20"/>
      <color indexed="9"/>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color indexed="23"/>
      </top>
      <bottom style="thin">
        <color indexed="9"/>
      </bottom>
    </border>
    <border>
      <left>
        <color indexed="63"/>
      </left>
      <right>
        <color indexed="63"/>
      </right>
      <top style="thin">
        <color indexed="23"/>
      </top>
      <bottom style="thin">
        <color indexed="23"/>
      </bottom>
    </border>
    <border>
      <left>
        <color indexed="63"/>
      </left>
      <right style="thin">
        <color indexed="9"/>
      </right>
      <top style="thin">
        <color indexed="23"/>
      </top>
      <bottom style="thin">
        <color indexed="9"/>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medium"/>
      <right style="thin"/>
      <top>
        <color indexed="63"/>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color indexed="63"/>
      </left>
      <right style="hair"/>
      <top style="hair"/>
      <bottom style="hair"/>
    </border>
    <border>
      <left>
        <color indexed="8"/>
      </left>
      <right>
        <color indexed="8"/>
      </right>
      <top style="hair">
        <color indexed="8"/>
      </top>
      <bottom style="hair">
        <color indexed="8"/>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9"/>
      </top>
      <bottom style="hair">
        <color indexed="9"/>
      </bottom>
    </border>
    <border>
      <left>
        <color indexed="63"/>
      </left>
      <right style="thin"/>
      <top style="thin"/>
      <bottom style="thin"/>
    </border>
    <border>
      <left style="thin"/>
      <right>
        <color indexed="63"/>
      </right>
      <top style="thin"/>
      <bottom style="thin"/>
    </border>
    <border>
      <left style="thin"/>
      <right>
        <color indexed="63"/>
      </right>
      <top style="hair">
        <color indexed="8"/>
      </top>
      <bottom style="thin"/>
    </border>
    <border>
      <left style="thin">
        <color indexed="8"/>
      </left>
      <right style="thin"/>
      <top style="hair">
        <color indexed="8"/>
      </top>
      <bottom style="thin"/>
    </border>
    <border>
      <left style="thin">
        <color indexed="8"/>
      </left>
      <right style="thin"/>
      <top>
        <color indexed="63"/>
      </top>
      <bottom style="thin"/>
    </border>
    <border>
      <left style="medium">
        <color indexed="23"/>
      </left>
      <right style="medium">
        <color indexed="23"/>
      </right>
      <top style="medium">
        <color indexed="23"/>
      </top>
      <bottom style="thin"/>
    </border>
    <border>
      <left style="medium">
        <color indexed="23"/>
      </left>
      <right style="medium">
        <color indexed="23"/>
      </right>
      <top style="hair">
        <color indexed="8"/>
      </top>
      <bottom style="hair">
        <color indexed="8"/>
      </bottom>
    </border>
    <border>
      <left style="medium">
        <color indexed="23"/>
      </left>
      <right style="medium">
        <color indexed="23"/>
      </right>
      <top style="hair">
        <color indexed="8"/>
      </top>
      <bottom style="medium">
        <color indexed="2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thin"/>
    </border>
    <border>
      <left style="thin"/>
      <right style="thin"/>
      <top>
        <color indexed="63"/>
      </top>
      <bottom style="medium"/>
    </border>
    <border>
      <left style="hair">
        <color indexed="17"/>
      </left>
      <right style="hair">
        <color indexed="17"/>
      </right>
      <top style="hair">
        <color indexed="17"/>
      </top>
      <bottom style="hair">
        <color indexed="9"/>
      </bottom>
    </border>
    <border>
      <left style="medium">
        <color indexed="23"/>
      </left>
      <right>
        <color indexed="8"/>
      </right>
      <top style="medium">
        <color indexed="23"/>
      </top>
      <bottom style="thin"/>
    </border>
    <border>
      <left style="medium">
        <color indexed="23"/>
      </left>
      <right>
        <color indexed="8"/>
      </right>
      <top style="hair">
        <color indexed="8"/>
      </top>
      <bottom style="hair">
        <color indexed="8"/>
      </bottom>
    </border>
    <border>
      <left style="medium">
        <color indexed="23"/>
      </left>
      <right>
        <color indexed="8"/>
      </right>
      <top style="hair">
        <color indexed="8"/>
      </top>
      <bottom style="medium">
        <color indexed="23"/>
      </bottom>
    </border>
    <border>
      <left>
        <color indexed="63"/>
      </left>
      <right>
        <color indexed="63"/>
      </right>
      <top style="medium">
        <color indexed="23"/>
      </top>
      <bottom style="thin"/>
    </border>
    <border>
      <left>
        <color indexed="63"/>
      </left>
      <right style="medium">
        <color indexed="23"/>
      </right>
      <top style="medium">
        <color indexed="23"/>
      </top>
      <bottom style="thin"/>
    </border>
    <border>
      <left>
        <color indexed="63"/>
      </left>
      <right style="medium">
        <color indexed="23"/>
      </right>
      <top style="hair">
        <color indexed="8"/>
      </top>
      <bottom style="hair">
        <color indexed="8"/>
      </bottom>
    </border>
    <border>
      <left>
        <color indexed="63"/>
      </left>
      <right>
        <color indexed="63"/>
      </right>
      <top style="hair">
        <color indexed="8"/>
      </top>
      <bottom style="medium">
        <color indexed="23"/>
      </bottom>
    </border>
    <border>
      <left>
        <color indexed="63"/>
      </left>
      <right style="medium">
        <color indexed="23"/>
      </right>
      <top style="hair">
        <color indexed="8"/>
      </top>
      <bottom style="medium">
        <color indexed="23"/>
      </bottom>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color indexed="63"/>
      </right>
      <top style="hair"/>
      <bottom style="hair"/>
    </border>
    <border>
      <left>
        <color indexed="63"/>
      </left>
      <right style="thin"/>
      <top style="thin"/>
      <bottom>
        <color indexed="63"/>
      </bottom>
    </border>
    <border>
      <left>
        <color indexed="8"/>
      </left>
      <right>
        <color indexed="63"/>
      </right>
      <top style="thin"/>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style="medium"/>
    </border>
    <border>
      <left style="medium"/>
      <right style="thin"/>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s>
  <cellStyleXfs count="67">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3" fillId="0" borderId="0">
      <alignment vertical="top"/>
      <protection/>
    </xf>
    <xf numFmtId="0" fontId="2"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47"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939">
    <xf numFmtId="0" fontId="0" fillId="0" borderId="0" xfId="0" applyAlignment="1">
      <alignment/>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Font="1" applyFill="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8" fillId="0" borderId="0" xfId="0" applyFont="1" applyFill="1" applyAlignment="1">
      <alignment horizontal="center"/>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9"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Alignment="1">
      <alignment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2" fillId="0" borderId="0" xfId="0" applyFont="1" applyAlignment="1">
      <alignment horizontal="center" vertical="center" wrapText="1"/>
    </xf>
    <xf numFmtId="0" fontId="0" fillId="0" borderId="0" xfId="0" applyFont="1" applyBorder="1" applyAlignment="1">
      <alignment horizont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pplyProtection="1">
      <alignment horizontal="center" vertical="top" wrapText="1"/>
      <protection/>
    </xf>
    <xf numFmtId="0" fontId="0" fillId="0" borderId="15" xfId="0" applyNumberFormat="1" applyFont="1" applyBorder="1" applyAlignment="1">
      <alignment horizontal="center" shrinkToFit="1"/>
    </xf>
    <xf numFmtId="0" fontId="14" fillId="0" borderId="0" xfId="0" applyFont="1" applyAlignment="1">
      <alignment vertical="center" shrinkToFit="1"/>
    </xf>
    <xf numFmtId="49"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5" fillId="0" borderId="18"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1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shrinkToFit="1"/>
    </xf>
    <xf numFmtId="0" fontId="0" fillId="0" borderId="0" xfId="0" applyFont="1" applyBorder="1" applyAlignment="1" applyProtection="1">
      <alignment horizontal="center" vertical="center" wrapTex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0" fillId="0" borderId="0" xfId="0" applyNumberFormat="1" applyBorder="1" applyAlignment="1">
      <alignment horizontal="center" shrinkToFit="1"/>
    </xf>
    <xf numFmtId="0" fontId="14" fillId="0" borderId="0" xfId="0"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0" fillId="0" borderId="0" xfId="0" applyNumberFormat="1" applyFont="1" applyBorder="1" applyAlignment="1">
      <alignment vertical="center" wrapText="1"/>
    </xf>
    <xf numFmtId="0" fontId="8" fillId="0" borderId="0" xfId="0" applyFont="1" applyBorder="1" applyAlignment="1">
      <alignment horizontal="center" vertical="top"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5" fillId="0" borderId="0" xfId="0" applyNumberFormat="1" applyFont="1" applyAlignment="1">
      <alignment horizontal="center" vertical="center" wrapText="1"/>
    </xf>
    <xf numFmtId="0" fontId="0" fillId="0" borderId="0" xfId="0" applyNumberFormat="1" applyFont="1" applyBorder="1" applyAlignment="1" applyProtection="1">
      <alignment horizontal="left" vertical="center" shrinkToFit="1"/>
      <protection/>
    </xf>
    <xf numFmtId="0" fontId="15" fillId="0"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left" shrinkToFit="1"/>
      <protection/>
    </xf>
    <xf numFmtId="0" fontId="5" fillId="0" borderId="0" xfId="0" applyFont="1" applyAlignment="1">
      <alignment horizontal="center" vertical="center" wrapText="1"/>
    </xf>
    <xf numFmtId="0" fontId="0" fillId="0" borderId="0" xfId="54">
      <alignment/>
      <protection/>
    </xf>
    <xf numFmtId="0" fontId="0" fillId="0" borderId="0" xfId="54" applyAlignment="1">
      <alignment shrinkToFit="1"/>
      <protection/>
    </xf>
    <xf numFmtId="0" fontId="0" fillId="0" borderId="0" xfId="54" applyAlignment="1">
      <alignment horizontal="left" vertical="center" shrinkToFit="1"/>
      <protection/>
    </xf>
    <xf numFmtId="0" fontId="0" fillId="0" borderId="0" xfId="54" applyAlignment="1">
      <alignment horizontal="center"/>
      <protection/>
    </xf>
    <xf numFmtId="0" fontId="20" fillId="0" borderId="0" xfId="54" applyFont="1" applyBorder="1" applyAlignment="1">
      <alignment horizontal="center" vertical="center"/>
      <protection/>
    </xf>
    <xf numFmtId="0" fontId="0" fillId="21" borderId="0" xfId="54" applyFill="1">
      <alignment/>
      <protection/>
    </xf>
    <xf numFmtId="0" fontId="0" fillId="21" borderId="0" xfId="54" applyFill="1" applyAlignment="1">
      <alignment horizontal="center"/>
      <protection/>
    </xf>
    <xf numFmtId="0" fontId="0" fillId="21" borderId="0" xfId="54" applyFill="1" applyAlignment="1">
      <alignment horizontal="left"/>
      <protection/>
    </xf>
    <xf numFmtId="0" fontId="0" fillId="0" borderId="0" xfId="54" applyAlignment="1">
      <alignment horizontal="left"/>
      <protection/>
    </xf>
    <xf numFmtId="0" fontId="23" fillId="24" borderId="21" xfId="54" applyFont="1" applyFill="1" applyBorder="1" applyAlignment="1">
      <alignment horizontal="center" vertical="center" shrinkToFit="1"/>
      <protection/>
    </xf>
    <xf numFmtId="0" fontId="21" fillId="24" borderId="21" xfId="54" applyFont="1" applyFill="1" applyBorder="1" applyAlignment="1">
      <alignment horizontal="left" vertical="center" shrinkToFit="1"/>
      <protection/>
    </xf>
    <xf numFmtId="0" fontId="7" fillId="0" borderId="0" xfId="0" applyNumberFormat="1" applyFont="1" applyBorder="1" applyAlignment="1">
      <alignment horizontal="center" vertical="center"/>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0" fillId="0" borderId="22" xfId="0" applyNumberFormat="1" applyFont="1" applyBorder="1" applyAlignment="1" applyProtection="1">
      <alignment horizontal="left" shrinkToFit="1"/>
      <protection/>
    </xf>
    <xf numFmtId="0" fontId="0" fillId="0" borderId="19"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15" fillId="4" borderId="26" xfId="0" applyNumberFormat="1" applyFont="1" applyFill="1" applyBorder="1" applyAlignment="1" applyProtection="1">
      <alignment horizontal="left" shrinkToFit="1"/>
      <protection locked="0"/>
    </xf>
    <xf numFmtId="0" fontId="0" fillId="0" borderId="0" xfId="0" applyNumberFormat="1" applyFont="1" applyBorder="1" applyAlignment="1">
      <alignment horizontal="center" vertical="top" shrinkToFit="1"/>
    </xf>
    <xf numFmtId="0" fontId="0" fillId="0" borderId="11" xfId="0" applyNumberFormat="1" applyFont="1" applyBorder="1" applyAlignment="1">
      <alignment horizontal="center" vertical="top" shrinkToFit="1"/>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lignment horizontal="center" shrinkToFit="1"/>
    </xf>
    <xf numFmtId="0" fontId="15" fillId="4" borderId="10" xfId="0" applyNumberFormat="1" applyFont="1" applyFill="1" applyBorder="1" applyAlignment="1" applyProtection="1">
      <alignment horizontal="center" shrinkToFit="1"/>
      <protection locked="0"/>
    </xf>
    <xf numFmtId="0" fontId="0" fillId="0" borderId="23"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5" fillId="4" borderId="10"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wrapText="1"/>
      <protection/>
    </xf>
    <xf numFmtId="0" fontId="15" fillId="4" borderId="24" xfId="0" applyFont="1" applyFill="1" applyBorder="1" applyAlignment="1" applyProtection="1">
      <alignment horizontal="center" vertical="center" wrapText="1"/>
      <protection locked="0"/>
    </xf>
    <xf numFmtId="0" fontId="0" fillId="0" borderId="0" xfId="0" applyNumberFormat="1" applyFont="1" applyAlignment="1">
      <alignment vertical="center" shrinkToFit="1"/>
    </xf>
    <xf numFmtId="0" fontId="14" fillId="24" borderId="0" xfId="54" applyFont="1" applyFill="1" applyAlignment="1">
      <alignment horizontal="center" vertical="center" shrinkToFit="1"/>
      <protection/>
    </xf>
    <xf numFmtId="0" fontId="5"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right"/>
    </xf>
    <xf numFmtId="0" fontId="0" fillId="0" borderId="0"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25" fillId="0" borderId="0" xfId="0" applyFont="1" applyBorder="1" applyAlignment="1">
      <alignment vertical="center" shrinkToFit="1"/>
    </xf>
    <xf numFmtId="0" fontId="0" fillId="0" borderId="0" xfId="0" applyFont="1" applyBorder="1" applyAlignment="1">
      <alignment horizontal="center" vertical="center" shrinkToFit="1"/>
    </xf>
    <xf numFmtId="0" fontId="15" fillId="4" borderId="15" xfId="0" applyNumberFormat="1" applyFont="1" applyFill="1" applyBorder="1" applyAlignment="1" applyProtection="1">
      <alignment horizontal="left" shrinkToFit="1"/>
      <protection locked="0"/>
    </xf>
    <xf numFmtId="0" fontId="0" fillId="0" borderId="14" xfId="0" applyNumberFormat="1" applyFont="1" applyBorder="1" applyAlignment="1" applyProtection="1">
      <alignment horizontal="left" vertical="top" shrinkToFit="1"/>
      <protection/>
    </xf>
    <xf numFmtId="0" fontId="0" fillId="0" borderId="12"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26" fillId="0" borderId="22" xfId="0" applyNumberFormat="1" applyFont="1" applyBorder="1" applyAlignment="1" applyProtection="1">
      <alignment horizontal="left" vertical="center" shrinkToFit="1"/>
      <protection/>
    </xf>
    <xf numFmtId="0" fontId="26" fillId="0" borderId="19" xfId="0" applyNumberFormat="1" applyFont="1" applyBorder="1" applyAlignment="1" applyProtection="1">
      <alignment horizontal="left" vertical="center" shrinkToFit="1"/>
      <protection/>
    </xf>
    <xf numFmtId="0" fontId="26" fillId="0" borderId="23" xfId="0" applyNumberFormat="1" applyFont="1" applyBorder="1" applyAlignment="1" applyProtection="1">
      <alignment horizontal="left" vertical="center" shrinkToFit="1"/>
      <protection/>
    </xf>
    <xf numFmtId="0" fontId="26" fillId="0" borderId="14" xfId="0" applyNumberFormat="1" applyFont="1" applyBorder="1" applyAlignment="1" applyProtection="1">
      <alignment horizontal="left" vertical="center" shrinkToFit="1"/>
      <protection/>
    </xf>
    <xf numFmtId="0" fontId="26" fillId="0" borderId="12" xfId="0" applyNumberFormat="1" applyFont="1" applyBorder="1" applyAlignment="1" applyProtection="1">
      <alignment horizontal="left" vertical="center" shrinkToFit="1"/>
      <protection/>
    </xf>
    <xf numFmtId="0" fontId="26" fillId="0" borderId="28" xfId="0" applyNumberFormat="1" applyFont="1" applyBorder="1" applyAlignment="1" applyProtection="1">
      <alignment horizontal="left" vertical="center" shrinkToFit="1"/>
      <protection/>
    </xf>
    <xf numFmtId="0" fontId="26" fillId="0" borderId="24" xfId="0" applyNumberFormat="1" applyFont="1" applyBorder="1" applyAlignment="1" applyProtection="1">
      <alignment horizontal="left" vertical="center" shrinkToFit="1"/>
      <protection/>
    </xf>
    <xf numFmtId="0" fontId="26" fillId="0" borderId="15" xfId="0" applyNumberFormat="1" applyFont="1" applyBorder="1" applyAlignment="1" applyProtection="1">
      <alignment horizontal="left" vertical="center" shrinkToFit="1"/>
      <protection/>
    </xf>
    <xf numFmtId="0" fontId="26" fillId="0" borderId="25" xfId="0" applyNumberFormat="1" applyFont="1" applyBorder="1" applyAlignment="1" applyProtection="1">
      <alignment horizontal="left" vertical="center" shrinkToFit="1"/>
      <protection/>
    </xf>
    <xf numFmtId="0" fontId="26" fillId="0" borderId="29" xfId="0" applyNumberFormat="1" applyFont="1" applyBorder="1" applyAlignment="1" applyProtection="1">
      <alignment horizontal="left" vertical="center" shrinkToFit="1"/>
      <protection/>
    </xf>
    <xf numFmtId="0" fontId="26" fillId="0" borderId="20" xfId="0" applyNumberFormat="1" applyFont="1" applyBorder="1" applyAlignment="1" applyProtection="1">
      <alignment horizontal="left" vertical="center" shrinkToFit="1"/>
      <protection/>
    </xf>
    <xf numFmtId="0" fontId="26" fillId="0" borderId="30" xfId="0" applyNumberFormat="1" applyFont="1" applyBorder="1" applyAlignment="1" applyProtection="1">
      <alignment horizontal="left"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5" xfId="0" applyNumberFormat="1" applyFont="1" applyBorder="1" applyAlignment="1">
      <alignment horizontal="center" shrinkToFit="1"/>
    </xf>
    <xf numFmtId="0" fontId="26" fillId="0" borderId="0" xfId="0" applyNumberFormat="1" applyFont="1" applyBorder="1" applyAlignment="1">
      <alignment horizontal="center" shrinkToFit="1"/>
    </xf>
    <xf numFmtId="0" fontId="26" fillId="0" borderId="0" xfId="0" applyNumberFormat="1" applyFont="1" applyBorder="1" applyAlignment="1">
      <alignment horizontal="center" vertical="center" shrinkToFit="1"/>
    </xf>
    <xf numFmtId="0" fontId="26" fillId="0" borderId="0" xfId="0" applyNumberFormat="1" applyFont="1" applyBorder="1" applyAlignment="1" applyProtection="1">
      <alignment horizontal="center" vertical="center" shrinkToFit="1"/>
      <protection/>
    </xf>
    <xf numFmtId="0" fontId="28" fillId="4" borderId="26" xfId="0" applyNumberFormat="1" applyFont="1" applyFill="1" applyBorder="1" applyAlignment="1" applyProtection="1">
      <alignment horizontal="left" shrinkToFit="1"/>
      <protection locked="0"/>
    </xf>
    <xf numFmtId="0" fontId="26" fillId="0" borderId="0"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left" vertical="center" shrinkToFit="1"/>
    </xf>
    <xf numFmtId="0" fontId="26" fillId="0" borderId="27"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shrinkToFit="1"/>
    </xf>
    <xf numFmtId="0" fontId="26" fillId="0" borderId="0" xfId="0" applyNumberFormat="1" applyFont="1" applyBorder="1" applyAlignment="1">
      <alignment horizontal="left" shrinkToFit="1"/>
    </xf>
    <xf numFmtId="49" fontId="29" fillId="0" borderId="0" xfId="0" applyNumberFormat="1" applyFont="1" applyBorder="1" applyAlignment="1" applyProtection="1">
      <alignment horizontal="left" shrinkToFit="1"/>
      <protection/>
    </xf>
    <xf numFmtId="0" fontId="28" fillId="4" borderId="10" xfId="0" applyNumberFormat="1" applyFont="1" applyFill="1" applyBorder="1" applyAlignment="1" applyProtection="1">
      <alignment horizontal="center" shrinkToFit="1"/>
      <protection locked="0"/>
    </xf>
    <xf numFmtId="0" fontId="26" fillId="0" borderId="10" xfId="0" applyFont="1" applyBorder="1" applyAlignment="1" applyProtection="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0" xfId="0" applyFont="1" applyBorder="1" applyAlignment="1">
      <alignment horizontal="center" wrapText="1"/>
    </xf>
    <xf numFmtId="49"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49" fontId="26" fillId="0" borderId="0" xfId="0" applyNumberFormat="1" applyFont="1" applyBorder="1" applyAlignment="1">
      <alignment horizontal="center" shrinkToFit="1"/>
    </xf>
    <xf numFmtId="0" fontId="26" fillId="0" borderId="0" xfId="0" applyNumberFormat="1" applyFont="1" applyBorder="1" applyAlignment="1" applyProtection="1">
      <alignment horizontal="center" vertical="top" shrinkToFit="1"/>
      <protection/>
    </xf>
    <xf numFmtId="0" fontId="28" fillId="4" borderId="10" xfId="0" applyNumberFormat="1" applyFont="1" applyFill="1" applyBorder="1" applyAlignment="1" applyProtection="1">
      <alignment horizontal="center" shrinkToFit="1"/>
      <protection locked="0"/>
    </xf>
    <xf numFmtId="0" fontId="26" fillId="0" borderId="0" xfId="0" applyNumberFormat="1" applyFont="1" applyBorder="1" applyAlignment="1">
      <alignment horizontal="center" vertical="top" shrinkToFit="1"/>
    </xf>
    <xf numFmtId="0" fontId="26" fillId="0" borderId="0" xfId="0" applyFont="1" applyBorder="1" applyAlignment="1" applyProtection="1">
      <alignment horizontal="center" wrapText="1"/>
      <protection/>
    </xf>
    <xf numFmtId="0" fontId="26" fillId="0" borderId="0" xfId="0" applyFont="1" applyBorder="1" applyAlignment="1" applyProtection="1">
      <alignment horizontal="center" vertical="top" wrapText="1"/>
      <protection/>
    </xf>
    <xf numFmtId="0" fontId="26" fillId="0" borderId="0" xfId="0" applyFont="1" applyAlignment="1">
      <alignment horizontal="center" vertical="center" wrapText="1"/>
    </xf>
    <xf numFmtId="0" fontId="29" fillId="0" borderId="0" xfId="0" applyFont="1" applyAlignment="1">
      <alignment vertical="center" shrinkToFit="1"/>
    </xf>
    <xf numFmtId="0" fontId="26" fillId="0" borderId="0" xfId="0" applyFont="1" applyAlignment="1">
      <alignment vertical="center" wrapText="1"/>
    </xf>
    <xf numFmtId="0" fontId="26" fillId="0" borderId="0" xfId="0" applyFont="1" applyBorder="1" applyAlignment="1">
      <alignment horizontal="center" shrinkToFit="1"/>
    </xf>
    <xf numFmtId="0" fontId="27" fillId="0" borderId="0" xfId="0" applyFont="1" applyBorder="1" applyAlignment="1">
      <alignment horizontal="center" vertical="center" shrinkToFit="1"/>
    </xf>
    <xf numFmtId="0"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0" fontId="26" fillId="0" borderId="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shrinkToFit="1"/>
      <protection/>
    </xf>
    <xf numFmtId="0" fontId="26" fillId="0" borderId="0" xfId="0" applyNumberFormat="1" applyFont="1" applyBorder="1" applyAlignment="1">
      <alignment horizontal="center" vertical="top" shrinkToFit="1"/>
    </xf>
    <xf numFmtId="0" fontId="26" fillId="0" borderId="0" xfId="0" applyNumberFormat="1" applyFont="1" applyFill="1" applyBorder="1" applyAlignment="1" applyProtection="1">
      <alignment horizontal="center" shrinkToFit="1"/>
      <protection/>
    </xf>
    <xf numFmtId="0" fontId="26" fillId="0" borderId="11" xfId="0" applyNumberFormat="1" applyFont="1" applyBorder="1" applyAlignment="1">
      <alignment horizontal="center" shrinkToFit="1"/>
    </xf>
    <xf numFmtId="0" fontId="26" fillId="0" borderId="11" xfId="0" applyNumberFormat="1" applyFont="1" applyBorder="1" applyAlignment="1">
      <alignment horizontal="center" vertical="top" shrinkToFit="1"/>
    </xf>
    <xf numFmtId="0" fontId="28" fillId="4" borderId="0" xfId="0" applyNumberFormat="1" applyFont="1" applyFill="1" applyBorder="1" applyAlignment="1" applyProtection="1">
      <alignment horizontal="center" shrinkToFit="1"/>
      <protection locked="0"/>
    </xf>
    <xf numFmtId="0" fontId="27" fillId="0" borderId="0" xfId="0" applyNumberFormat="1" applyFont="1" applyBorder="1" applyAlignment="1" applyProtection="1">
      <alignment horizontal="center" vertical="center" wrapText="1"/>
      <protection/>
    </xf>
    <xf numFmtId="0" fontId="27" fillId="0" borderId="11" xfId="0" applyNumberFormat="1" applyFont="1" applyBorder="1" applyAlignment="1">
      <alignment horizontal="center" vertical="center" wrapText="1"/>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49" fontId="16" fillId="0" borderId="0" xfId="54" applyNumberFormat="1" applyFont="1" applyAlignment="1">
      <alignment/>
      <protection/>
    </xf>
    <xf numFmtId="0" fontId="17" fillId="0" borderId="0" xfId="54" applyNumberFormat="1" applyFont="1" applyBorder="1" applyAlignment="1">
      <alignment/>
      <protection/>
    </xf>
    <xf numFmtId="49" fontId="22" fillId="24" borderId="31" xfId="54" applyNumberFormat="1" applyFont="1" applyFill="1" applyBorder="1" applyAlignment="1">
      <alignment horizontal="center" vertical="center" textRotation="90" wrapText="1" shrinkToFit="1"/>
      <protection/>
    </xf>
    <xf numFmtId="49" fontId="22" fillId="24" borderId="32" xfId="54" applyNumberFormat="1" applyFont="1" applyFill="1" applyBorder="1" applyAlignment="1">
      <alignment horizontal="center" vertical="center" textRotation="90" wrapText="1" shrinkToFit="1"/>
      <protection/>
    </xf>
    <xf numFmtId="0" fontId="0" fillId="0" borderId="0" xfId="54" applyAlignment="1">
      <alignment textRotation="90" wrapText="1" shrinkToFit="1"/>
      <protection/>
    </xf>
    <xf numFmtId="49" fontId="16" fillId="0" borderId="0" xfId="54" applyNumberFormat="1" applyFont="1" applyAlignment="1">
      <alignment horizontal="left"/>
      <protection/>
    </xf>
    <xf numFmtId="0" fontId="17" fillId="0" borderId="0" xfId="54" applyNumberFormat="1" applyFont="1" applyBorder="1" applyAlignment="1">
      <alignment horizontal="left"/>
      <protection/>
    </xf>
    <xf numFmtId="49" fontId="22" fillId="24" borderId="31" xfId="54" applyNumberFormat="1" applyFont="1" applyFill="1" applyBorder="1" applyAlignment="1">
      <alignment horizontal="left" vertical="center" textRotation="90" wrapText="1" shrinkToFit="1"/>
      <protection/>
    </xf>
    <xf numFmtId="0" fontId="23" fillId="24" borderId="21" xfId="54" applyFont="1" applyFill="1" applyBorder="1" applyAlignment="1">
      <alignment horizontal="left" vertical="center" shrinkToFit="1"/>
      <protection/>
    </xf>
    <xf numFmtId="0" fontId="0" fillId="0" borderId="0" xfId="54" applyFill="1" applyAlignment="1">
      <alignment horizontal="center"/>
      <protection/>
    </xf>
    <xf numFmtId="0" fontId="14" fillId="0" borderId="0" xfId="0" applyNumberFormat="1" applyFont="1" applyFill="1" applyBorder="1" applyAlignment="1" applyProtection="1">
      <alignment horizontal="left" shrinkToFit="1"/>
      <protection/>
    </xf>
    <xf numFmtId="0" fontId="0" fillId="0" borderId="11" xfId="0" applyNumberFormat="1" applyFont="1" applyBorder="1" applyAlignment="1" applyProtection="1">
      <alignment horizontal="center" vertical="top" shrinkToFit="1"/>
      <protection/>
    </xf>
    <xf numFmtId="0" fontId="0" fillId="0" borderId="0" xfId="0" applyAlignment="1">
      <alignment horizontal="center"/>
    </xf>
    <xf numFmtId="0" fontId="0" fillId="0" borderId="0" xfId="0" applyAlignment="1">
      <alignment vertical="center"/>
    </xf>
    <xf numFmtId="0" fontId="8" fillId="0" borderId="33"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20" borderId="0" xfId="0" applyFill="1" applyAlignment="1">
      <alignment/>
    </xf>
    <xf numFmtId="0" fontId="0" fillId="20" borderId="0" xfId="0" applyFill="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0" fontId="32" fillId="25" borderId="0" xfId="0" applyFont="1" applyFill="1" applyBorder="1" applyAlignment="1">
      <alignment horizontal="center" vertical="center" shrinkToFit="1"/>
    </xf>
    <xf numFmtId="0" fontId="33" fillId="0" borderId="0" xfId="0" applyFont="1" applyFill="1" applyBorder="1" applyAlignment="1">
      <alignment vertical="center"/>
    </xf>
    <xf numFmtId="0" fontId="32" fillId="25" borderId="34"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locked="0"/>
    </xf>
    <xf numFmtId="0" fontId="33" fillId="25" borderId="36" xfId="0" applyFont="1" applyFill="1" applyBorder="1" applyAlignment="1">
      <alignment vertical="center" shrinkToFit="1"/>
    </xf>
    <xf numFmtId="0" fontId="32" fillId="25" borderId="0"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xf>
    <xf numFmtId="0" fontId="33" fillId="25" borderId="0" xfId="0" applyFont="1" applyFill="1" applyBorder="1" applyAlignment="1">
      <alignment vertical="center" shrinkToFit="1"/>
    </xf>
    <xf numFmtId="14" fontId="34" fillId="0" borderId="35" xfId="0" applyNumberFormat="1" applyFont="1" applyFill="1" applyBorder="1" applyAlignment="1" applyProtection="1">
      <alignment horizontal="left" vertical="center" shrinkToFit="1"/>
      <protection locked="0"/>
    </xf>
    <xf numFmtId="0" fontId="33" fillId="25" borderId="34" xfId="0" applyFont="1" applyFill="1" applyBorder="1" applyAlignment="1">
      <alignment vertical="center" shrinkToFit="1"/>
    </xf>
    <xf numFmtId="0" fontId="0" fillId="0" borderId="0" xfId="0"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left"/>
    </xf>
    <xf numFmtId="0" fontId="35" fillId="26" borderId="0" xfId="0" applyFont="1" applyFill="1" applyAlignment="1">
      <alignment horizontal="center" vertical="center"/>
    </xf>
    <xf numFmtId="0" fontId="0" fillId="0" borderId="0" xfId="0" applyFill="1" applyBorder="1" applyAlignment="1" applyProtection="1">
      <alignment/>
      <protection locked="0"/>
    </xf>
    <xf numFmtId="0" fontId="0" fillId="0" borderId="0" xfId="0" applyAlignment="1" quotePrefix="1">
      <alignment/>
    </xf>
    <xf numFmtId="164" fontId="18" fillId="0" borderId="0" xfId="54" applyNumberFormat="1" applyFont="1" applyBorder="1" applyAlignment="1">
      <alignment horizontal="left" vertical="top"/>
      <protection/>
    </xf>
    <xf numFmtId="164" fontId="20" fillId="0" borderId="0" xfId="54" applyNumberFormat="1" applyFont="1" applyBorder="1" applyAlignment="1">
      <alignment horizontal="right" vertical="top"/>
      <protection/>
    </xf>
    <xf numFmtId="49" fontId="19" fillId="0" borderId="0" xfId="54" applyNumberFormat="1" applyFont="1" applyBorder="1" applyAlignment="1">
      <alignment horizontal="left" vertical="top"/>
      <protection/>
    </xf>
    <xf numFmtId="0" fontId="0" fillId="0" borderId="0" xfId="54" applyAlignment="1">
      <alignment vertical="top"/>
      <protection/>
    </xf>
    <xf numFmtId="0" fontId="0" fillId="0" borderId="0" xfId="54" applyAlignment="1">
      <alignment horizontal="center" vertical="top"/>
      <protection/>
    </xf>
    <xf numFmtId="0" fontId="20" fillId="0" borderId="0" xfId="54" applyFont="1" applyFill="1" applyBorder="1" applyAlignment="1">
      <alignment horizontal="center" vertical="center"/>
      <protection/>
    </xf>
    <xf numFmtId="0" fontId="0" fillId="0" borderId="0" xfId="54" applyAlignment="1">
      <alignment horizontal="center" shrinkToFit="1"/>
      <protection/>
    </xf>
    <xf numFmtId="0" fontId="0" fillId="0" borderId="0" xfId="54" applyAlignment="1">
      <alignment/>
      <protection/>
    </xf>
    <xf numFmtId="49" fontId="22" fillId="24" borderId="0" xfId="54" applyNumberFormat="1" applyFont="1" applyFill="1" applyBorder="1" applyAlignment="1">
      <alignment horizontal="center" vertical="center" wrapText="1" shrinkToFit="1"/>
      <protection/>
    </xf>
    <xf numFmtId="0" fontId="7" fillId="0" borderId="0" xfId="54" applyFont="1" applyBorder="1" applyAlignment="1">
      <alignment horizontal="center" vertical="top"/>
      <protection/>
    </xf>
    <xf numFmtId="0" fontId="4" fillId="0" borderId="0" xfId="54" applyFont="1" applyBorder="1" applyAlignment="1">
      <alignment horizontal="right" vertical="top"/>
      <protection/>
    </xf>
    <xf numFmtId="49" fontId="41" fillId="0" borderId="0" xfId="54" applyNumberFormat="1" applyFont="1" applyAlignment="1">
      <alignment horizontal="left"/>
      <protection/>
    </xf>
    <xf numFmtId="0" fontId="0" fillId="0" borderId="0" xfId="54" applyFont="1" applyAlignment="1">
      <alignment horizontal="right"/>
      <protection/>
    </xf>
    <xf numFmtId="49" fontId="42" fillId="0" borderId="0" xfId="54" applyNumberFormat="1" applyFont="1" applyAlignment="1">
      <alignment horizontal="center"/>
      <protection/>
    </xf>
    <xf numFmtId="0" fontId="0" fillId="0" borderId="0" xfId="0" applyNumberFormat="1" applyFont="1" applyAlignment="1" applyProtection="1">
      <alignment horizontal="right"/>
      <protection/>
    </xf>
    <xf numFmtId="0" fontId="0" fillId="0" borderId="0" xfId="54" applyFont="1" applyBorder="1" applyAlignment="1">
      <alignment horizontal="right"/>
      <protection/>
    </xf>
    <xf numFmtId="0" fontId="0" fillId="0" borderId="21" xfId="0" applyNumberFormat="1" applyFont="1" applyBorder="1" applyAlignment="1" applyProtection="1">
      <alignment horizontal="center"/>
      <protection/>
    </xf>
    <xf numFmtId="49" fontId="43" fillId="0" borderId="0" xfId="54" applyNumberFormat="1" applyFont="1" applyAlignment="1">
      <alignment horizontal="left"/>
      <protection/>
    </xf>
    <xf numFmtId="0" fontId="0" fillId="0" borderId="0" xfId="54" applyFont="1" applyBorder="1" applyAlignment="1">
      <alignment horizontal="center"/>
      <protection/>
    </xf>
    <xf numFmtId="0" fontId="8" fillId="0" borderId="0" xfId="54" applyFont="1" applyBorder="1" applyAlignment="1">
      <alignment horizontal="center"/>
      <protection/>
    </xf>
    <xf numFmtId="0" fontId="8" fillId="0" borderId="0" xfId="54" applyFont="1" applyAlignment="1">
      <alignment/>
      <protection/>
    </xf>
    <xf numFmtId="0" fontId="0" fillId="0" borderId="21" xfId="54" applyFont="1" applyBorder="1" applyAlignment="1">
      <alignment horizontal="center"/>
      <protection/>
    </xf>
    <xf numFmtId="49" fontId="20" fillId="0" borderId="0" xfId="54" applyNumberFormat="1" applyFont="1" applyFill="1" applyBorder="1" applyAlignment="1">
      <alignment horizontal="right"/>
      <protection/>
    </xf>
    <xf numFmtId="49" fontId="20" fillId="0" borderId="12" xfId="54" applyNumberFormat="1" applyFont="1" applyFill="1" applyBorder="1" applyAlignment="1" applyProtection="1">
      <alignment horizontal="center" shrinkToFit="1"/>
      <protection locked="0"/>
    </xf>
    <xf numFmtId="49" fontId="20" fillId="0" borderId="12" xfId="54" applyNumberFormat="1" applyFont="1" applyFill="1" applyBorder="1" applyAlignment="1">
      <alignment horizontal="center"/>
      <protection/>
    </xf>
    <xf numFmtId="49" fontId="16" fillId="0" borderId="0" xfId="54" applyNumberFormat="1" applyFont="1" applyAlignment="1">
      <alignment vertical="top"/>
      <protection/>
    </xf>
    <xf numFmtId="49" fontId="44" fillId="0" borderId="0" xfId="54" applyNumberFormat="1" applyFont="1" applyFill="1" applyBorder="1" applyAlignment="1">
      <alignment horizontal="center" vertical="top"/>
      <protection/>
    </xf>
    <xf numFmtId="49" fontId="45" fillId="0" borderId="37" xfId="54" applyNumberFormat="1" applyFont="1" applyFill="1" applyBorder="1" applyAlignment="1">
      <alignment horizontal="center" vertical="center" wrapText="1"/>
      <protection/>
    </xf>
    <xf numFmtId="49" fontId="45" fillId="0" borderId="38" xfId="54" applyNumberFormat="1" applyFont="1" applyFill="1" applyBorder="1" applyAlignment="1">
      <alignment horizontal="center" vertical="center" wrapText="1"/>
      <protection/>
    </xf>
    <xf numFmtId="49" fontId="45" fillId="0" borderId="39" xfId="54" applyNumberFormat="1" applyFont="1" applyFill="1" applyBorder="1" applyAlignment="1">
      <alignment horizontal="center" vertical="center" wrapText="1"/>
      <protection/>
    </xf>
    <xf numFmtId="49" fontId="45" fillId="0" borderId="40" xfId="54" applyNumberFormat="1" applyFont="1" applyFill="1" applyBorder="1" applyAlignment="1">
      <alignment horizontal="center" vertical="center" wrapText="1"/>
      <protection/>
    </xf>
    <xf numFmtId="0" fontId="0" fillId="0" borderId="0" xfId="54" applyFont="1">
      <alignment/>
      <protection/>
    </xf>
    <xf numFmtId="0" fontId="20" fillId="0" borderId="41" xfId="54" applyFont="1" applyFill="1" applyBorder="1" applyAlignment="1">
      <alignment horizontal="left" shrinkToFit="1"/>
      <protection/>
    </xf>
    <xf numFmtId="0" fontId="20" fillId="0" borderId="42" xfId="54" applyFont="1" applyFill="1" applyBorder="1" applyAlignment="1">
      <alignment horizontal="center" shrinkToFit="1"/>
      <protection/>
    </xf>
    <xf numFmtId="0" fontId="20" fillId="0" borderId="43" xfId="54" applyFont="1" applyFill="1" applyBorder="1" applyAlignment="1">
      <alignment horizontal="center" vertical="top" shrinkToFit="1"/>
      <protection/>
    </xf>
    <xf numFmtId="0" fontId="20" fillId="2" borderId="44" xfId="54" applyFont="1" applyFill="1" applyBorder="1" applyAlignment="1">
      <alignment horizontal="center" shrinkToFit="1"/>
      <protection/>
    </xf>
    <xf numFmtId="0" fontId="0" fillId="0" borderId="0" xfId="54" applyAlignment="1">
      <alignment horizontal="left" shrinkToFit="1"/>
      <protection/>
    </xf>
    <xf numFmtId="0" fontId="20" fillId="0" borderId="13" xfId="54" applyFont="1" applyFill="1" applyBorder="1" applyAlignment="1">
      <alignment horizontal="center" vertical="top" shrinkToFit="1"/>
      <protection/>
    </xf>
    <xf numFmtId="0" fontId="20" fillId="0" borderId="12" xfId="54" applyFont="1" applyFill="1" applyBorder="1" applyAlignment="1">
      <alignment horizontal="center" vertical="top" shrinkToFit="1"/>
      <protection/>
    </xf>
    <xf numFmtId="0" fontId="20" fillId="2" borderId="45" xfId="54" applyFont="1" applyFill="1" applyBorder="1" applyAlignment="1">
      <alignment horizontal="center" vertical="top" shrinkToFit="1"/>
      <protection/>
    </xf>
    <xf numFmtId="0" fontId="0" fillId="0" borderId="0" xfId="54" applyAlignment="1">
      <alignment vertical="top" shrinkToFit="1"/>
      <protection/>
    </xf>
    <xf numFmtId="0" fontId="20" fillId="0" borderId="46" xfId="54" applyFont="1" applyFill="1" applyBorder="1" applyAlignment="1">
      <alignment horizontal="left" shrinkToFit="1"/>
      <protection/>
    </xf>
    <xf numFmtId="0" fontId="20" fillId="0" borderId="47" xfId="54" applyFont="1" applyFill="1" applyBorder="1" applyAlignment="1">
      <alignment horizontal="center" shrinkToFit="1"/>
      <protection/>
    </xf>
    <xf numFmtId="0" fontId="20" fillId="0" borderId="48" xfId="54" applyFont="1" applyFill="1" applyBorder="1" applyAlignment="1">
      <alignment horizontal="center" shrinkToFit="1"/>
      <protection/>
    </xf>
    <xf numFmtId="0" fontId="20" fillId="2" borderId="49" xfId="54" applyFont="1" applyFill="1" applyBorder="1" applyAlignment="1">
      <alignment horizontal="center" shrinkToFit="1"/>
      <protection/>
    </xf>
    <xf numFmtId="0" fontId="20" fillId="0" borderId="14" xfId="54" applyFont="1" applyFill="1" applyBorder="1" applyAlignment="1">
      <alignment horizontal="left" vertical="top" shrinkToFit="1"/>
      <protection/>
    </xf>
    <xf numFmtId="0" fontId="20" fillId="0" borderId="28" xfId="54" applyFont="1" applyFill="1" applyBorder="1" applyAlignment="1">
      <alignment horizontal="center" vertical="top" shrinkToFit="1"/>
      <protection/>
    </xf>
    <xf numFmtId="0" fontId="20" fillId="2" borderId="13" xfId="54" applyFont="1" applyFill="1" applyBorder="1" applyAlignment="1">
      <alignment horizontal="center" vertical="top" shrinkToFit="1"/>
      <protection/>
    </xf>
    <xf numFmtId="0" fontId="20" fillId="0" borderId="49" xfId="54" applyFont="1" applyFill="1" applyBorder="1" applyAlignment="1">
      <alignment horizontal="center" shrinkToFit="1"/>
      <protection/>
    </xf>
    <xf numFmtId="0" fontId="20" fillId="0" borderId="29" xfId="54" applyFont="1" applyFill="1" applyBorder="1" applyAlignment="1">
      <alignment horizontal="left" vertical="top" shrinkToFit="1"/>
      <protection/>
    </xf>
    <xf numFmtId="0" fontId="20" fillId="0" borderId="50" xfId="54" applyFont="1" applyFill="1" applyBorder="1" applyAlignment="1">
      <alignment horizontal="center" vertical="top" shrinkToFit="1"/>
      <protection/>
    </xf>
    <xf numFmtId="0" fontId="20" fillId="0" borderId="30" xfId="54" applyFont="1" applyFill="1" applyBorder="1" applyAlignment="1">
      <alignment horizontal="center" vertical="top" shrinkToFit="1"/>
      <protection/>
    </xf>
    <xf numFmtId="0" fontId="20" fillId="2" borderId="50" xfId="54" applyFont="1" applyFill="1" applyBorder="1" applyAlignment="1">
      <alignment horizontal="center" vertical="top" shrinkToFit="1"/>
      <protection/>
    </xf>
    <xf numFmtId="0" fontId="20" fillId="0" borderId="0" xfId="55">
      <alignment/>
      <protection/>
    </xf>
    <xf numFmtId="0" fontId="20" fillId="0" borderId="12" xfId="55" applyBorder="1">
      <alignment/>
      <protection/>
    </xf>
    <xf numFmtId="0" fontId="20" fillId="0" borderId="0" xfId="55" applyBorder="1">
      <alignment/>
      <protection/>
    </xf>
    <xf numFmtId="0" fontId="20" fillId="0" borderId="0" xfId="55" applyAlignment="1">
      <alignment horizontal="center"/>
      <protection/>
    </xf>
    <xf numFmtId="0" fontId="40" fillId="0" borderId="0" xfId="55" applyFont="1" applyBorder="1" applyAlignment="1">
      <alignment horizontal="center" vertical="top"/>
      <protection/>
    </xf>
    <xf numFmtId="0" fontId="0" fillId="0" borderId="0" xfId="54" applyAlignment="1" applyProtection="1">
      <alignment horizontal="center" vertical="center" shrinkToFit="1"/>
      <protection locked="0"/>
    </xf>
    <xf numFmtId="0" fontId="20" fillId="0" borderId="42" xfId="54" applyFont="1" applyFill="1" applyBorder="1" applyAlignment="1" applyProtection="1">
      <alignment horizontal="center" shrinkToFit="1"/>
      <protection/>
    </xf>
    <xf numFmtId="0" fontId="20" fillId="0" borderId="13" xfId="54" applyFont="1" applyFill="1" applyBorder="1" applyAlignment="1" applyProtection="1">
      <alignment horizontal="center" vertical="top" shrinkToFit="1"/>
      <protection/>
    </xf>
    <xf numFmtId="0" fontId="20" fillId="0" borderId="47" xfId="54" applyFont="1" applyFill="1" applyBorder="1" applyAlignment="1" applyProtection="1">
      <alignment horizontal="center" shrinkToFit="1"/>
      <protection/>
    </xf>
    <xf numFmtId="0" fontId="20" fillId="0" borderId="49" xfId="54" applyFont="1" applyFill="1" applyBorder="1" applyAlignment="1" applyProtection="1">
      <alignment horizontal="center" shrinkToFit="1"/>
      <protection/>
    </xf>
    <xf numFmtId="0" fontId="20" fillId="0" borderId="50" xfId="54" applyFont="1" applyFill="1" applyBorder="1" applyAlignment="1" applyProtection="1">
      <alignment horizontal="center" vertical="top" shrinkToFit="1"/>
      <protection/>
    </xf>
    <xf numFmtId="0" fontId="14" fillId="24" borderId="0" xfId="54" applyFont="1" applyFill="1" applyAlignment="1" applyProtection="1">
      <alignment horizontal="center" shrinkToFit="1"/>
      <protection locked="0"/>
    </xf>
    <xf numFmtId="0" fontId="0" fillId="0" borderId="21" xfId="54" applyFont="1" applyBorder="1" applyAlignment="1">
      <alignment horizontal="left" vertical="top" shrinkToFit="1"/>
      <protection/>
    </xf>
    <xf numFmtId="0" fontId="0" fillId="0" borderId="0" xfId="54" applyProtection="1">
      <alignment/>
      <protection/>
    </xf>
    <xf numFmtId="0" fontId="0" fillId="21" borderId="0" xfId="54" applyFill="1" applyProtection="1">
      <alignment/>
      <protection/>
    </xf>
    <xf numFmtId="0" fontId="14" fillId="0" borderId="0" xfId="0" applyFont="1" applyFill="1" applyAlignment="1">
      <alignment horizontal="center" vertical="center" wrapTex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26" fillId="0" borderId="0" xfId="53" applyFont="1">
      <alignment/>
      <protection/>
    </xf>
    <xf numFmtId="0" fontId="2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26" fillId="0" borderId="0" xfId="53" applyFont="1" applyBorder="1" applyAlignment="1">
      <alignment horizontal="left"/>
      <protection/>
    </xf>
    <xf numFmtId="0" fontId="26" fillId="0" borderId="0" xfId="53" applyFont="1" applyBorder="1" applyAlignment="1">
      <alignment horizontal="center"/>
      <protection/>
    </xf>
    <xf numFmtId="0" fontId="26" fillId="0" borderId="12" xfId="53" applyFont="1" applyBorder="1" applyAlignment="1">
      <alignment horizontal="center" shrinkToFit="1"/>
      <protection/>
    </xf>
    <xf numFmtId="0" fontId="26" fillId="0" borderId="0" xfId="53" applyFont="1" applyBorder="1" applyAlignment="1">
      <alignment horizontal="right"/>
      <protection/>
    </xf>
    <xf numFmtId="0" fontId="26" fillId="0" borderId="0" xfId="53" applyFont="1" applyBorder="1" applyAlignment="1">
      <alignment shrinkToFit="1"/>
      <protection/>
    </xf>
    <xf numFmtId="0" fontId="26" fillId="0" borderId="0" xfId="53" applyFont="1" applyBorder="1" applyAlignment="1">
      <alignment horizontal="left" shrinkToFit="1"/>
      <protection/>
    </xf>
    <xf numFmtId="0" fontId="26" fillId="0" borderId="0" xfId="53" applyFont="1" applyBorder="1" applyAlignment="1">
      <alignment horizontal="right" shrinkToFit="1"/>
      <protection/>
    </xf>
    <xf numFmtId="0" fontId="0" fillId="0" borderId="0" xfId="53" applyBorder="1" applyAlignment="1">
      <alignment/>
      <protection/>
    </xf>
    <xf numFmtId="0" fontId="8" fillId="0" borderId="51" xfId="53" applyFont="1" applyBorder="1" applyAlignment="1">
      <alignment horizontal="center" vertical="center" wrapText="1"/>
      <protection/>
    </xf>
    <xf numFmtId="14" fontId="8" fillId="0" borderId="52" xfId="53" applyNumberFormat="1" applyFont="1" applyBorder="1" applyAlignment="1">
      <alignment horizontal="center" vertical="center" wrapText="1"/>
      <protection/>
    </xf>
    <xf numFmtId="0" fontId="0" fillId="0" borderId="31" xfId="53" applyFont="1" applyFill="1" applyBorder="1" applyAlignment="1" applyProtection="1">
      <alignment horizontal="center" shrinkToFit="1"/>
      <protection locked="0"/>
    </xf>
    <xf numFmtId="0" fontId="26" fillId="0" borderId="0" xfId="53" applyFont="1" applyFill="1">
      <alignment/>
      <protection/>
    </xf>
    <xf numFmtId="0" fontId="0" fillId="0" borderId="53" xfId="53" applyFont="1" applyFill="1" applyBorder="1" applyAlignment="1" applyProtection="1">
      <alignment horizontal="center" shrinkToFit="1"/>
      <protection locked="0"/>
    </xf>
    <xf numFmtId="0" fontId="0" fillId="0" borderId="31" xfId="53" applyFont="1" applyFill="1" applyBorder="1" applyAlignment="1" applyProtection="1">
      <alignment horizontal="center" shrinkToFit="1"/>
      <protection locked="0"/>
    </xf>
    <xf numFmtId="0" fontId="0" fillId="0" borderId="53" xfId="53" applyFont="1" applyFill="1" applyBorder="1" applyAlignment="1" applyProtection="1">
      <alignment horizontal="center" shrinkToFit="1"/>
      <protection locked="0"/>
    </xf>
    <xf numFmtId="0" fontId="0" fillId="0" borderId="0" xfId="53" applyFill="1">
      <alignment/>
      <protection/>
    </xf>
    <xf numFmtId="0" fontId="2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26" fillId="20" borderId="24" xfId="0" applyNumberFormat="1" applyFont="1" applyFill="1" applyBorder="1" applyAlignment="1" applyProtection="1">
      <alignment horizontal="left" vertical="center" shrinkToFit="1"/>
      <protection/>
    </xf>
    <xf numFmtId="0" fontId="26" fillId="20" borderId="15" xfId="0" applyNumberFormat="1" applyFont="1" applyFill="1" applyBorder="1" applyAlignment="1" applyProtection="1">
      <alignment horizontal="left" vertical="center" shrinkToFit="1"/>
      <protection/>
    </xf>
    <xf numFmtId="0" fontId="26" fillId="20" borderId="25" xfId="0" applyNumberFormat="1" applyFont="1" applyFill="1" applyBorder="1" applyAlignment="1" applyProtection="1">
      <alignment horizontal="left" vertical="center" shrinkToFit="1"/>
      <protection/>
    </xf>
    <xf numFmtId="0" fontId="26" fillId="20" borderId="29" xfId="0" applyNumberFormat="1" applyFont="1" applyFill="1" applyBorder="1" applyAlignment="1" applyProtection="1">
      <alignment horizontal="left" vertical="center" shrinkToFit="1"/>
      <protection/>
    </xf>
    <xf numFmtId="0" fontId="26" fillId="20" borderId="20" xfId="0" applyNumberFormat="1" applyFont="1" applyFill="1" applyBorder="1" applyAlignment="1" applyProtection="1">
      <alignment horizontal="left" vertical="center" shrinkToFit="1"/>
      <protection/>
    </xf>
    <xf numFmtId="0" fontId="26" fillId="20" borderId="30" xfId="0" applyNumberFormat="1" applyFont="1" applyFill="1" applyBorder="1" applyAlignment="1" applyProtection="1">
      <alignment horizontal="left" vertical="center" shrinkToFit="1"/>
      <protection/>
    </xf>
    <xf numFmtId="0" fontId="26" fillId="20" borderId="22" xfId="0" applyNumberFormat="1" applyFont="1" applyFill="1" applyBorder="1" applyAlignment="1" applyProtection="1">
      <alignment horizontal="left" vertical="center" shrinkToFit="1"/>
      <protection/>
    </xf>
    <xf numFmtId="0" fontId="26" fillId="20" borderId="19" xfId="0" applyNumberFormat="1" applyFont="1" applyFill="1" applyBorder="1" applyAlignment="1" applyProtection="1">
      <alignment horizontal="left" vertical="center" shrinkToFit="1"/>
      <protection/>
    </xf>
    <xf numFmtId="0" fontId="26" fillId="20" borderId="23" xfId="0" applyNumberFormat="1" applyFont="1" applyFill="1" applyBorder="1" applyAlignment="1" applyProtection="1">
      <alignment horizontal="left" vertical="center" shrinkToFit="1"/>
      <protection/>
    </xf>
    <xf numFmtId="0" fontId="26" fillId="20" borderId="14" xfId="0" applyNumberFormat="1" applyFont="1" applyFill="1" applyBorder="1" applyAlignment="1" applyProtection="1">
      <alignment horizontal="left" vertical="center" shrinkToFit="1"/>
      <protection/>
    </xf>
    <xf numFmtId="0" fontId="26" fillId="20" borderId="12" xfId="0" applyNumberFormat="1" applyFont="1" applyFill="1" applyBorder="1" applyAlignment="1" applyProtection="1">
      <alignment horizontal="left" vertical="center" shrinkToFit="1"/>
      <protection/>
    </xf>
    <xf numFmtId="0" fontId="26" fillId="20" borderId="28" xfId="0" applyNumberFormat="1" applyFont="1" applyFill="1" applyBorder="1" applyAlignment="1" applyProtection="1">
      <alignment horizontal="left" vertical="center" shrinkToFit="1"/>
      <protection/>
    </xf>
    <xf numFmtId="0" fontId="28" fillId="4" borderId="26"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5" xfId="0" applyNumberFormat="1" applyFont="1" applyFill="1" applyBorder="1" applyAlignment="1" applyProtection="1">
      <alignment horizontal="left" shrinkToFit="1"/>
      <protection/>
    </xf>
    <xf numFmtId="0" fontId="0" fillId="20" borderId="25"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vertical="top" shrinkToFit="1"/>
      <protection/>
    </xf>
    <xf numFmtId="0" fontId="0" fillId="20" borderId="20" xfId="0" applyNumberFormat="1" applyFont="1" applyFill="1" applyBorder="1" applyAlignment="1" applyProtection="1">
      <alignment horizontal="left" vertical="top" shrinkToFit="1"/>
      <protection/>
    </xf>
    <xf numFmtId="0" fontId="0" fillId="20" borderId="30" xfId="0" applyNumberFormat="1" applyFont="1" applyFill="1" applyBorder="1" applyAlignment="1" applyProtection="1">
      <alignment horizontal="left" vertical="top" shrinkToFit="1"/>
      <protection/>
    </xf>
    <xf numFmtId="0" fontId="0" fillId="20" borderId="22"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20" borderId="23"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vertical="top" shrinkToFit="1"/>
      <protection/>
    </xf>
    <xf numFmtId="0" fontId="0" fillId="20" borderId="12" xfId="0" applyNumberFormat="1" applyFont="1" applyFill="1" applyBorder="1" applyAlignment="1" applyProtection="1">
      <alignment horizontal="left" vertical="top" shrinkToFit="1"/>
      <protection/>
    </xf>
    <xf numFmtId="0" fontId="0" fillId="20" borderId="28" xfId="0" applyNumberFormat="1" applyFont="1" applyFill="1" applyBorder="1" applyAlignment="1" applyProtection="1">
      <alignment horizontal="left" vertical="top" shrinkToFit="1"/>
      <protection/>
    </xf>
    <xf numFmtId="0" fontId="15" fillId="4" borderId="26" xfId="0" applyNumberFormat="1" applyFont="1" applyFill="1" applyBorder="1" applyAlignment="1" applyProtection="1">
      <alignment horizontal="left" shrinkToFit="1"/>
      <protection/>
    </xf>
    <xf numFmtId="0" fontId="0" fillId="21" borderId="0" xfId="0" applyFill="1" applyAlignment="1">
      <alignment horizontal="center"/>
    </xf>
    <xf numFmtId="0" fontId="0" fillId="0" borderId="0" xfId="0" applyAlignment="1">
      <alignment horizontal="right" vertical="center"/>
    </xf>
    <xf numFmtId="0" fontId="64" fillId="0" borderId="0" xfId="0" applyFont="1" applyAlignment="1">
      <alignment vertical="center"/>
    </xf>
    <xf numFmtId="0" fontId="0" fillId="21" borderId="0" xfId="0" applyNumberFormat="1" applyFill="1" applyAlignment="1">
      <alignment horizontal="center"/>
    </xf>
    <xf numFmtId="0" fontId="0" fillId="0" borderId="0" xfId="0" applyFont="1" applyAlignment="1">
      <alignment/>
    </xf>
    <xf numFmtId="0" fontId="6" fillId="0" borderId="0" xfId="0" applyFont="1" applyBorder="1" applyAlignment="1">
      <alignment horizontal="left" vertical="center"/>
    </xf>
    <xf numFmtId="0" fontId="0" fillId="0" borderId="0" xfId="0" applyFont="1" applyBorder="1" applyAlignment="1">
      <alignment horizontal="center"/>
    </xf>
    <xf numFmtId="0" fontId="0" fillId="0" borderId="54" xfId="0" applyFont="1" applyFill="1" applyBorder="1" applyAlignment="1">
      <alignment vertical="center"/>
    </xf>
    <xf numFmtId="0" fontId="0" fillId="0" borderId="0" xfId="0" applyFill="1" applyAlignment="1">
      <alignment horizontal="center"/>
    </xf>
    <xf numFmtId="0" fontId="66" fillId="0" borderId="0" xfId="56" applyFont="1" applyAlignment="1">
      <alignment horizontal="left" vertical="top" shrinkToFit="1"/>
      <protection/>
    </xf>
    <xf numFmtId="0" fontId="67" fillId="0" borderId="0" xfId="56" applyFont="1" applyAlignment="1">
      <alignment horizontal="left" vertical="top"/>
      <protection/>
    </xf>
    <xf numFmtId="14" fontId="67" fillId="0" borderId="0" xfId="56" applyNumberFormat="1" applyFont="1" applyAlignment="1">
      <alignment horizontal="left" vertical="top"/>
      <protection/>
    </xf>
    <xf numFmtId="0" fontId="67" fillId="0" borderId="0" xfId="56" applyFont="1" applyAlignment="1">
      <alignment horizontal="center" vertical="top"/>
      <protection/>
    </xf>
    <xf numFmtId="0" fontId="3" fillId="0" borderId="0" xfId="56">
      <alignment vertical="top"/>
      <protection/>
    </xf>
    <xf numFmtId="0" fontId="3" fillId="0" borderId="0" xfId="56" applyAlignment="1">
      <alignment horizontal="center" vertical="top"/>
      <protection/>
    </xf>
    <xf numFmtId="14" fontId="3" fillId="0" borderId="0" xfId="56" applyNumberFormat="1">
      <alignment vertical="top"/>
      <protection/>
    </xf>
    <xf numFmtId="0" fontId="68" fillId="0" borderId="0" xfId="56" applyFont="1" applyAlignment="1">
      <alignment horizontal="left" vertical="top"/>
      <protection/>
    </xf>
    <xf numFmtId="14" fontId="68" fillId="0" borderId="0" xfId="56" applyNumberFormat="1" applyFont="1" applyAlignment="1">
      <alignment horizontal="left" vertical="top"/>
      <protection/>
    </xf>
    <xf numFmtId="0" fontId="68" fillId="0" borderId="0" xfId="56" applyFont="1" applyAlignment="1">
      <alignment horizontal="center" vertical="top"/>
      <protection/>
    </xf>
    <xf numFmtId="0" fontId="69" fillId="0" borderId="0" xfId="56" applyFont="1" applyAlignment="1">
      <alignment horizontal="left" vertical="top" shrinkToFit="1"/>
      <protection/>
    </xf>
    <xf numFmtId="0" fontId="70" fillId="0" borderId="0" xfId="56" applyFont="1" applyAlignment="1">
      <alignment horizontal="left" vertical="top"/>
      <protection/>
    </xf>
    <xf numFmtId="14" fontId="70" fillId="0" borderId="0" xfId="56" applyNumberFormat="1" applyFont="1" applyAlignment="1">
      <alignment horizontal="left" vertical="top"/>
      <protection/>
    </xf>
    <xf numFmtId="0" fontId="70" fillId="0" borderId="0" xfId="56" applyFont="1" applyAlignment="1">
      <alignment horizontal="center" vertical="top"/>
      <protection/>
    </xf>
    <xf numFmtId="14" fontId="69" fillId="0" borderId="0" xfId="56" applyNumberFormat="1" applyFont="1" applyAlignment="1">
      <alignment horizontal="left" vertical="top" shrinkToFit="1"/>
      <protection/>
    </xf>
    <xf numFmtId="0" fontId="3" fillId="0" borderId="0" xfId="56" applyBorder="1">
      <alignment vertical="top"/>
      <protection/>
    </xf>
    <xf numFmtId="14" fontId="3" fillId="0" borderId="0" xfId="56" applyNumberFormat="1" applyBorder="1">
      <alignment vertical="top"/>
      <protection/>
    </xf>
    <xf numFmtId="0" fontId="3" fillId="0" borderId="0" xfId="56" applyBorder="1" applyAlignment="1">
      <alignment horizontal="center" vertical="top"/>
      <protection/>
    </xf>
    <xf numFmtId="0" fontId="3" fillId="0" borderId="0" xfId="56" applyAlignment="1">
      <alignment vertical="center" wrapText="1"/>
      <protection/>
    </xf>
    <xf numFmtId="0" fontId="76" fillId="0" borderId="55" xfId="56" applyFont="1" applyFill="1" applyBorder="1" applyAlignment="1" applyProtection="1">
      <alignment horizontal="left" vertical="center" shrinkToFit="1"/>
      <protection locked="0"/>
    </xf>
    <xf numFmtId="0" fontId="76" fillId="0" borderId="55" xfId="56" applyFont="1" applyFill="1" applyBorder="1" applyAlignment="1" applyProtection="1">
      <alignment horizontal="center" vertical="center" shrinkToFit="1"/>
      <protection locked="0"/>
    </xf>
    <xf numFmtId="14" fontId="76" fillId="0" borderId="55" xfId="56" applyNumberFormat="1" applyFont="1" applyFill="1" applyBorder="1" applyAlignment="1" applyProtection="1">
      <alignment horizontal="center" vertical="center" shrinkToFit="1"/>
      <protection locked="0"/>
    </xf>
    <xf numFmtId="0" fontId="6" fillId="21" borderId="55" xfId="0" applyFont="1" applyFill="1" applyBorder="1" applyAlignment="1">
      <alignment horizontal="center"/>
    </xf>
    <xf numFmtId="0" fontId="76" fillId="0" borderId="0" xfId="56" applyFont="1" applyFill="1" applyAlignment="1">
      <alignment vertical="center"/>
      <protection/>
    </xf>
    <xf numFmtId="0" fontId="3" fillId="0" borderId="0" xfId="56" applyFill="1" applyBorder="1" applyAlignment="1">
      <alignment horizontal="center" vertical="top" shrinkToFit="1" readingOrder="1"/>
      <protection/>
    </xf>
    <xf numFmtId="0" fontId="3" fillId="0" borderId="0" xfId="56" applyFont="1" applyFill="1" applyBorder="1" applyAlignment="1">
      <alignment horizontal="center" vertical="top" readingOrder="1"/>
      <protection/>
    </xf>
    <xf numFmtId="0" fontId="3" fillId="0" borderId="0" xfId="56" applyFill="1" applyBorder="1" applyAlignment="1">
      <alignment vertical="top"/>
      <protection/>
    </xf>
    <xf numFmtId="0" fontId="3" fillId="0" borderId="0" xfId="56" applyFill="1" applyBorder="1">
      <alignment vertical="top"/>
      <protection/>
    </xf>
    <xf numFmtId="14" fontId="3" fillId="0" borderId="0" xfId="56" applyNumberFormat="1" applyFill="1" applyBorder="1">
      <alignment vertical="top"/>
      <protection/>
    </xf>
    <xf numFmtId="0" fontId="3" fillId="0" borderId="0" xfId="56" applyFill="1" applyBorder="1" applyAlignment="1">
      <alignment horizontal="center" vertical="top"/>
      <protection/>
    </xf>
    <xf numFmtId="0" fontId="3" fillId="0" borderId="0" xfId="56" applyFill="1">
      <alignment vertical="top"/>
      <protection/>
    </xf>
    <xf numFmtId="0" fontId="3" fillId="0" borderId="0" xfId="56" applyAlignment="1">
      <alignment horizontal="center" vertical="top" shrinkToFit="1" readingOrder="1"/>
      <protection/>
    </xf>
    <xf numFmtId="0" fontId="3" fillId="0" borderId="0" xfId="56" applyAlignment="1">
      <alignment horizontal="center" vertical="top" readingOrder="1"/>
      <protection/>
    </xf>
    <xf numFmtId="0" fontId="3" fillId="0" borderId="0" xfId="56" applyAlignment="1">
      <alignment vertical="top"/>
      <protection/>
    </xf>
    <xf numFmtId="0" fontId="3" fillId="27" borderId="12" xfId="56" applyFill="1" applyBorder="1" applyAlignment="1">
      <alignment horizontal="center" vertical="center"/>
      <protection/>
    </xf>
    <xf numFmtId="0" fontId="3" fillId="27" borderId="12" xfId="56" applyFill="1" applyBorder="1" applyAlignment="1">
      <alignment vertical="center"/>
      <protection/>
    </xf>
    <xf numFmtId="14" fontId="3" fillId="27" borderId="12" xfId="56" applyNumberFormat="1" applyFill="1" applyBorder="1" applyAlignment="1">
      <alignment vertical="center"/>
      <protection/>
    </xf>
    <xf numFmtId="0" fontId="3" fillId="27" borderId="12" xfId="56" applyNumberFormat="1" applyFill="1" applyBorder="1" applyAlignment="1">
      <alignment horizontal="center" vertical="center"/>
      <protection/>
    </xf>
    <xf numFmtId="0" fontId="0" fillId="0" borderId="21" xfId="0" applyBorder="1" applyAlignment="1">
      <alignment/>
    </xf>
    <xf numFmtId="0" fontId="0" fillId="0" borderId="21" xfId="0" applyBorder="1" applyAlignment="1">
      <alignment horizontal="center"/>
    </xf>
    <xf numFmtId="0" fontId="39" fillId="0" borderId="0" xfId="54" applyNumberFormat="1" applyFont="1" applyBorder="1" applyAlignment="1">
      <alignment/>
      <protection/>
    </xf>
    <xf numFmtId="49" fontId="38" fillId="0" borderId="0" xfId="54" applyNumberFormat="1" applyFont="1" applyBorder="1" applyAlignment="1">
      <alignment vertical="top"/>
      <protection/>
    </xf>
    <xf numFmtId="0" fontId="38" fillId="0" borderId="0" xfId="54" applyNumberFormat="1" applyFont="1" applyBorder="1" applyAlignment="1">
      <alignment vertical="top"/>
      <protection/>
    </xf>
    <xf numFmtId="0" fontId="79" fillId="0" borderId="56" xfId="0" applyFont="1" applyBorder="1" applyAlignment="1">
      <alignment horizontal="center" vertical="center" shrinkToFit="1"/>
    </xf>
    <xf numFmtId="0" fontId="80" fillId="0" borderId="56" xfId="0" applyFont="1" applyFill="1" applyBorder="1" applyAlignment="1" applyProtection="1">
      <alignment horizontal="left" vertical="center" shrinkToFit="1"/>
      <protection locked="0"/>
    </xf>
    <xf numFmtId="0" fontId="82" fillId="0" borderId="0" xfId="54" applyNumberFormat="1" applyFont="1" applyBorder="1" applyAlignment="1">
      <alignment/>
      <protection/>
    </xf>
    <xf numFmtId="0" fontId="16" fillId="0" borderId="0" xfId="54" applyFont="1" applyBorder="1" applyAlignment="1">
      <alignment horizontal="center" vertical="center"/>
      <protection/>
    </xf>
    <xf numFmtId="0" fontId="5" fillId="0" borderId="0" xfId="54" applyFont="1" applyAlignment="1">
      <alignment horizontal="center"/>
      <protection/>
    </xf>
    <xf numFmtId="0" fontId="5" fillId="21" borderId="0" xfId="54" applyFont="1" applyFill="1" applyAlignment="1">
      <alignment horizontal="center"/>
      <protection/>
    </xf>
    <xf numFmtId="0" fontId="0" fillId="20" borderId="0" xfId="0" applyFill="1" applyBorder="1" applyAlignment="1">
      <alignment horizontal="center" vertical="center"/>
    </xf>
    <xf numFmtId="0" fontId="0" fillId="20" borderId="0" xfId="0" applyFill="1" applyBorder="1" applyAlignment="1">
      <alignment horizontal="center" vertical="center" textRotation="90"/>
    </xf>
    <xf numFmtId="0" fontId="0" fillId="20" borderId="0" xfId="0" applyFont="1" applyFill="1" applyBorder="1" applyAlignment="1">
      <alignment horizontal="center" vertical="center" shrinkToFit="1"/>
    </xf>
    <xf numFmtId="0" fontId="0" fillId="20" borderId="0" xfId="0" applyFill="1" applyBorder="1" applyAlignment="1">
      <alignment horizontal="center" vertical="center" shrinkToFit="1"/>
    </xf>
    <xf numFmtId="0" fontId="3" fillId="28" borderId="0" xfId="56" applyFill="1" applyBorder="1">
      <alignment vertical="top"/>
      <protection/>
    </xf>
    <xf numFmtId="0" fontId="80" fillId="0" borderId="56" xfId="0" applyFont="1" applyFill="1" applyBorder="1" applyAlignment="1" applyProtection="1">
      <alignment horizontal="center" vertical="center" shrinkToFit="1"/>
      <protection locked="0"/>
    </xf>
    <xf numFmtId="0" fontId="81" fillId="20" borderId="57" xfId="54" applyFont="1" applyFill="1" applyBorder="1" applyAlignment="1" applyProtection="1">
      <alignment horizontal="center" vertical="center"/>
      <protection locked="0"/>
    </xf>
    <xf numFmtId="0" fontId="81" fillId="20" borderId="57" xfId="54" applyFont="1" applyFill="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0" fillId="0" borderId="21" xfId="0" applyBorder="1" applyAlignment="1">
      <alignment horizontal="center" vertical="center" wrapText="1"/>
    </xf>
    <xf numFmtId="0" fontId="0" fillId="0" borderId="59" xfId="0" applyBorder="1" applyAlignment="1" applyProtection="1">
      <alignment horizontal="center" vertical="center" shrinkToFit="1"/>
      <protection locked="0"/>
    </xf>
    <xf numFmtId="0" fontId="0" fillId="0" borderId="21"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14" fontId="0" fillId="0" borderId="21" xfId="0" applyNumberFormat="1" applyBorder="1" applyAlignment="1" applyProtection="1">
      <alignment horizontal="center" vertical="center" shrinkToFit="1"/>
      <protection locked="0"/>
    </xf>
    <xf numFmtId="14" fontId="0" fillId="0" borderId="21"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wrapText="1"/>
    </xf>
    <xf numFmtId="0" fontId="0" fillId="20" borderId="0" xfId="0" applyFill="1" applyBorder="1" applyAlignment="1">
      <alignment vertical="center" wrapText="1"/>
    </xf>
    <xf numFmtId="0" fontId="0" fillId="20" borderId="0" xfId="0" applyFill="1" applyAlignment="1">
      <alignment vertical="center" wrapText="1"/>
    </xf>
    <xf numFmtId="14" fontId="5" fillId="20" borderId="0" xfId="0" applyNumberFormat="1" applyFont="1" applyFill="1" applyAlignment="1">
      <alignment horizontal="center" vertical="center" wrapText="1"/>
    </xf>
    <xf numFmtId="49" fontId="22" fillId="29" borderId="0" xfId="54" applyNumberFormat="1" applyFont="1" applyFill="1" applyBorder="1" applyAlignment="1">
      <alignment horizontal="center" vertical="center" wrapText="1" shrinkToFit="1"/>
      <protection/>
    </xf>
    <xf numFmtId="0" fontId="14" fillId="29" borderId="0" xfId="54" applyFont="1" applyFill="1" applyAlignment="1" applyProtection="1">
      <alignment horizontal="center" shrinkToFit="1"/>
      <protection locked="0"/>
    </xf>
    <xf numFmtId="0" fontId="14" fillId="29" borderId="0" xfId="54" applyFont="1" applyFill="1" applyAlignment="1">
      <alignment horizontal="center" vertical="center" shrinkToFit="1"/>
      <protection/>
    </xf>
    <xf numFmtId="49" fontId="22" fillId="29" borderId="31" xfId="54" applyNumberFormat="1" applyFont="1" applyFill="1" applyBorder="1" applyAlignment="1">
      <alignment horizontal="center" vertical="center" textRotation="90" wrapText="1" shrinkToFit="1"/>
      <protection/>
    </xf>
    <xf numFmtId="49" fontId="22" fillId="29" borderId="31" xfId="54" applyNumberFormat="1" applyFont="1" applyFill="1" applyBorder="1" applyAlignment="1">
      <alignment horizontal="left" vertical="center" textRotation="90" wrapText="1" shrinkToFit="1"/>
      <protection/>
    </xf>
    <xf numFmtId="49" fontId="22" fillId="29" borderId="32" xfId="54" applyNumberFormat="1" applyFont="1" applyFill="1" applyBorder="1" applyAlignment="1">
      <alignment horizontal="center" vertical="center" textRotation="90" wrapText="1" shrinkToFit="1"/>
      <protection/>
    </xf>
    <xf numFmtId="0" fontId="23" fillId="29" borderId="21" xfId="54" applyFont="1" applyFill="1" applyBorder="1" applyAlignment="1">
      <alignment horizontal="center" vertical="center" shrinkToFit="1"/>
      <protection/>
    </xf>
    <xf numFmtId="0" fontId="23" fillId="29" borderId="21" xfId="54" applyFont="1" applyFill="1" applyBorder="1" applyAlignment="1">
      <alignment horizontal="left" vertical="center" shrinkToFit="1"/>
      <protection/>
    </xf>
    <xf numFmtId="0" fontId="21" fillId="29" borderId="21" xfId="54" applyFont="1" applyFill="1" applyBorder="1" applyAlignment="1">
      <alignment horizontal="left" vertical="center" shrinkToFit="1"/>
      <protection/>
    </xf>
    <xf numFmtId="0" fontId="20" fillId="0" borderId="60" xfId="54" applyFont="1" applyFill="1" applyBorder="1" applyAlignment="1">
      <alignment horizontal="left" shrinkToFit="1"/>
      <protection/>
    </xf>
    <xf numFmtId="0" fontId="20" fillId="0" borderId="61" xfId="54" applyFont="1" applyFill="1" applyBorder="1" applyAlignment="1">
      <alignment horizontal="center" shrinkToFit="1"/>
      <protection/>
    </xf>
    <xf numFmtId="0" fontId="20" fillId="0" borderId="14" xfId="54" applyFont="1" applyFill="1" applyBorder="1" applyAlignment="1">
      <alignment horizontal="left" shrinkToFit="1"/>
      <protection/>
    </xf>
    <xf numFmtId="0" fontId="20" fillId="0" borderId="62" xfId="54" applyFont="1" applyFill="1" applyBorder="1" applyAlignment="1">
      <alignment horizontal="center" shrinkToFit="1"/>
      <protection/>
    </xf>
    <xf numFmtId="0" fontId="0" fillId="20" borderId="0" xfId="0" applyFill="1" applyAlignment="1" applyProtection="1">
      <alignment/>
      <protection locked="0"/>
    </xf>
    <xf numFmtId="0" fontId="0" fillId="20" borderId="0" xfId="0" applyNumberFormat="1" applyFill="1" applyAlignment="1">
      <alignment horizontal="center"/>
    </xf>
    <xf numFmtId="0" fontId="8" fillId="20" borderId="58" xfId="0" applyFont="1" applyFill="1" applyBorder="1" applyAlignment="1">
      <alignment horizontal="center" vertical="center" wrapText="1"/>
    </xf>
    <xf numFmtId="0" fontId="8" fillId="20" borderId="21" xfId="0" applyFont="1" applyFill="1" applyBorder="1" applyAlignment="1">
      <alignment horizontal="center" vertical="center" wrapText="1"/>
    </xf>
    <xf numFmtId="0" fontId="8" fillId="20" borderId="10" xfId="0" applyFont="1" applyFill="1" applyBorder="1" applyAlignment="1">
      <alignment/>
    </xf>
    <xf numFmtId="0" fontId="8" fillId="20" borderId="0" xfId="0" applyFont="1" applyFill="1" applyAlignment="1">
      <alignment/>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pplyProtection="1">
      <alignment horizontal="center"/>
      <protection locked="0"/>
    </xf>
    <xf numFmtId="0" fontId="3" fillId="0" borderId="12" xfId="56" applyFill="1" applyBorder="1" applyAlignment="1">
      <alignment vertical="center"/>
      <protection/>
    </xf>
    <xf numFmtId="0" fontId="72" fillId="0" borderId="0" xfId="56" applyFont="1" applyBorder="1" applyAlignment="1">
      <alignment vertical="top" readingOrder="1"/>
      <protection/>
    </xf>
    <xf numFmtId="0" fontId="3" fillId="30" borderId="0" xfId="56" applyFont="1" applyFill="1" applyBorder="1" applyAlignment="1">
      <alignment horizontal="center" vertical="center" wrapText="1"/>
      <protection/>
    </xf>
    <xf numFmtId="0" fontId="3" fillId="0" borderId="0" xfId="56" applyBorder="1" applyAlignment="1">
      <alignment vertical="top" readingOrder="1"/>
      <protection/>
    </xf>
    <xf numFmtId="14" fontId="74" fillId="0" borderId="63" xfId="56" applyNumberFormat="1" applyFont="1" applyBorder="1" applyAlignment="1">
      <alignment horizontal="center" vertical="center" wrapText="1" readingOrder="1"/>
      <protection/>
    </xf>
    <xf numFmtId="0" fontId="74" fillId="0" borderId="63" xfId="56" applyFont="1" applyBorder="1" applyAlignment="1">
      <alignment horizontal="center" vertical="center" wrapText="1"/>
      <protection/>
    </xf>
    <xf numFmtId="0" fontId="75" fillId="0" borderId="63" xfId="56" applyFont="1" applyBorder="1" applyAlignment="1">
      <alignment horizontal="center" vertical="center" wrapText="1" readingOrder="1"/>
      <protection/>
    </xf>
    <xf numFmtId="14" fontId="76" fillId="0" borderId="64" xfId="56" applyNumberFormat="1" applyFont="1" applyFill="1" applyBorder="1" applyAlignment="1" applyProtection="1">
      <alignment horizontal="center" vertical="center" shrinkToFit="1"/>
      <protection locked="0"/>
    </xf>
    <xf numFmtId="0" fontId="76" fillId="0" borderId="64" xfId="56" applyFont="1" applyFill="1" applyBorder="1" applyAlignment="1" applyProtection="1">
      <alignment horizontal="center" vertical="center" shrinkToFit="1"/>
      <protection locked="0"/>
    </xf>
    <xf numFmtId="14" fontId="76" fillId="0" borderId="64" xfId="56" applyNumberFormat="1" applyFont="1" applyFill="1" applyBorder="1" applyAlignment="1" applyProtection="1">
      <alignment horizontal="center" vertical="center"/>
      <protection locked="0"/>
    </xf>
    <xf numFmtId="14" fontId="76" fillId="0" borderId="65" xfId="56" applyNumberFormat="1" applyFont="1" applyFill="1" applyBorder="1" applyAlignment="1" applyProtection="1">
      <alignment horizontal="center" vertical="center" shrinkToFit="1"/>
      <protection locked="0"/>
    </xf>
    <xf numFmtId="0" fontId="76" fillId="0" borderId="65" xfId="56" applyFont="1" applyFill="1" applyBorder="1" applyAlignment="1" applyProtection="1">
      <alignment horizontal="center" vertical="center" shrinkToFit="1"/>
      <protection locked="0"/>
    </xf>
    <xf numFmtId="14" fontId="76" fillId="0" borderId="65" xfId="56" applyNumberFormat="1" applyFont="1" applyFill="1" applyBorder="1" applyAlignment="1" applyProtection="1">
      <alignment horizontal="center" vertical="center"/>
      <protection locked="0"/>
    </xf>
    <xf numFmtId="0" fontId="3" fillId="0" borderId="0" xfId="56" applyFill="1" applyBorder="1" applyAlignment="1" applyProtection="1">
      <alignment horizontal="center" vertical="top"/>
      <protection locked="0"/>
    </xf>
    <xf numFmtId="0" fontId="0" fillId="0" borderId="0" xfId="54" applyFill="1" applyAlignment="1">
      <alignment/>
      <protection/>
    </xf>
    <xf numFmtId="0" fontId="0" fillId="0" borderId="0" xfId="54" applyFill="1" applyAlignment="1">
      <alignment vertical="top"/>
      <protection/>
    </xf>
    <xf numFmtId="0" fontId="3" fillId="0" borderId="0" xfId="56" applyFill="1" applyBorder="1" applyAlignment="1">
      <alignment vertical="center"/>
      <protection/>
    </xf>
    <xf numFmtId="0" fontId="20" fillId="0" borderId="66" xfId="54" applyFont="1" applyFill="1" applyBorder="1" applyAlignment="1">
      <alignment horizontal="center" shrinkToFit="1"/>
      <protection/>
    </xf>
    <xf numFmtId="0" fontId="20" fillId="0" borderId="67" xfId="54" applyFont="1" applyFill="1" applyBorder="1" applyAlignment="1">
      <alignment horizontal="center" shrinkToFit="1"/>
      <protection/>
    </xf>
    <xf numFmtId="0" fontId="20" fillId="0" borderId="68" xfId="54" applyFont="1" applyFill="1" applyBorder="1" applyAlignment="1">
      <alignment horizontal="center" shrinkToFit="1"/>
      <protection/>
    </xf>
    <xf numFmtId="0" fontId="20" fillId="0" borderId="69" xfId="54" applyFont="1" applyFill="1" applyBorder="1" applyAlignment="1">
      <alignment horizontal="center" shrinkToFit="1"/>
      <protection/>
    </xf>
    <xf numFmtId="0" fontId="20" fillId="0" borderId="70" xfId="54" applyFont="1" applyFill="1" applyBorder="1" applyAlignment="1">
      <alignment horizontal="center" shrinkToFit="1"/>
      <protection/>
    </xf>
    <xf numFmtId="0" fontId="20" fillId="0" borderId="70" xfId="54" applyFont="1" applyFill="1" applyBorder="1" applyAlignment="1">
      <alignment horizontal="center" vertical="top" shrinkToFit="1"/>
      <protection/>
    </xf>
    <xf numFmtId="0" fontId="20" fillId="0" borderId="71" xfId="54" applyFont="1" applyFill="1" applyBorder="1" applyAlignment="1">
      <alignment horizontal="center" vertical="top" shrinkToFit="1"/>
      <protection/>
    </xf>
    <xf numFmtId="0" fontId="20" fillId="0" borderId="12" xfId="55" applyBorder="1" applyAlignment="1">
      <alignment horizontal="center"/>
      <protection/>
    </xf>
    <xf numFmtId="0" fontId="39" fillId="0" borderId="0" xfId="54" applyNumberFormat="1" applyFont="1" applyBorder="1" applyAlignment="1">
      <alignment horizontal="center"/>
      <protection/>
    </xf>
    <xf numFmtId="0" fontId="83" fillId="20" borderId="72" xfId="54" applyFont="1" applyFill="1" applyBorder="1" applyAlignment="1" applyProtection="1">
      <alignment horizontal="center" vertical="center"/>
      <protection/>
    </xf>
    <xf numFmtId="0" fontId="83" fillId="20" borderId="57" xfId="54" applyFont="1" applyFill="1" applyBorder="1" applyAlignment="1" applyProtection="1">
      <alignment horizontal="center" vertical="center"/>
      <protection/>
    </xf>
    <xf numFmtId="165" fontId="80" fillId="0" borderId="56" xfId="0" applyNumberFormat="1" applyFont="1" applyFill="1" applyBorder="1" applyAlignment="1" applyProtection="1">
      <alignment horizontal="left" vertical="center" shrinkToFit="1"/>
      <protection locked="0"/>
    </xf>
    <xf numFmtId="49" fontId="81" fillId="0" borderId="56" xfId="54" applyNumberFormat="1" applyFont="1" applyFill="1" applyBorder="1" applyAlignment="1">
      <alignment horizontal="center" vertical="center" wrapText="1" shrinkToFit="1"/>
      <protection/>
    </xf>
    <xf numFmtId="0" fontId="84" fillId="0" borderId="56" xfId="0" applyFont="1" applyBorder="1" applyAlignment="1">
      <alignment horizontal="center" vertical="center" wrapText="1"/>
    </xf>
    <xf numFmtId="49" fontId="19" fillId="0" borderId="0" xfId="54" applyNumberFormat="1" applyFont="1" applyFill="1" applyBorder="1" applyAlignment="1">
      <alignment horizontal="center" vertical="top"/>
      <protection/>
    </xf>
    <xf numFmtId="0" fontId="73" fillId="0" borderId="73" xfId="56" applyFont="1" applyBorder="1" applyAlignment="1">
      <alignment horizontal="center" vertical="center" shrinkToFit="1" readingOrder="1"/>
      <protection/>
    </xf>
    <xf numFmtId="0" fontId="76" fillId="0" borderId="74" xfId="56" applyFont="1" applyFill="1" applyBorder="1" applyAlignment="1">
      <alignment horizontal="center" vertical="center" shrinkToFit="1" readingOrder="1"/>
      <protection/>
    </xf>
    <xf numFmtId="0" fontId="76" fillId="0" borderId="75" xfId="56" applyFont="1" applyFill="1" applyBorder="1" applyAlignment="1">
      <alignment horizontal="center" vertical="center" shrinkToFit="1" readingOrder="1"/>
      <protection/>
    </xf>
    <xf numFmtId="0" fontId="76" fillId="0" borderId="55" xfId="56" applyFont="1" applyFill="1" applyBorder="1" applyAlignment="1">
      <alignment horizontal="center" vertical="center" readingOrder="1"/>
      <protection/>
    </xf>
    <xf numFmtId="0" fontId="74" fillId="0" borderId="76" xfId="56" applyFont="1" applyBorder="1" applyAlignment="1">
      <alignment horizontal="center" vertical="center" wrapText="1" readingOrder="1"/>
      <protection/>
    </xf>
    <xf numFmtId="14" fontId="74" fillId="0" borderId="76" xfId="56" applyNumberFormat="1" applyFont="1" applyBorder="1" applyAlignment="1">
      <alignment horizontal="center" vertical="center" wrapText="1" readingOrder="1"/>
      <protection/>
    </xf>
    <xf numFmtId="0" fontId="74" fillId="0" borderId="76" xfId="56" applyFont="1" applyBorder="1" applyAlignment="1">
      <alignment horizontal="center" vertical="center" wrapText="1"/>
      <protection/>
    </xf>
    <xf numFmtId="0" fontId="74" fillId="0" borderId="76" xfId="56" applyFont="1" applyFill="1" applyBorder="1" applyAlignment="1">
      <alignment horizontal="center" vertical="center" wrapText="1" readingOrder="1"/>
      <protection/>
    </xf>
    <xf numFmtId="0" fontId="74" fillId="0" borderId="77" xfId="56" applyFont="1" applyBorder="1" applyAlignment="1">
      <alignment horizontal="center" vertical="center" wrapText="1" readingOrder="1"/>
      <protection/>
    </xf>
    <xf numFmtId="0" fontId="76" fillId="0" borderId="78" xfId="56" applyFont="1" applyFill="1" applyBorder="1" applyAlignment="1" applyProtection="1">
      <alignment horizontal="center" vertical="center" shrinkToFit="1"/>
      <protection locked="0"/>
    </xf>
    <xf numFmtId="0" fontId="76" fillId="20" borderId="74" xfId="56" applyFont="1" applyFill="1" applyBorder="1" applyAlignment="1">
      <alignment horizontal="center" vertical="center" shrinkToFit="1" readingOrder="1"/>
      <protection/>
    </xf>
    <xf numFmtId="0" fontId="76" fillId="20" borderId="75" xfId="56" applyFont="1" applyFill="1" applyBorder="1" applyAlignment="1">
      <alignment horizontal="center" vertical="center" shrinkToFit="1" readingOrder="1"/>
      <protection/>
    </xf>
    <xf numFmtId="0" fontId="76" fillId="0" borderId="79" xfId="56" applyFont="1" applyFill="1" applyBorder="1" applyAlignment="1">
      <alignment horizontal="center" vertical="center" readingOrder="1"/>
      <protection/>
    </xf>
    <xf numFmtId="0" fontId="76" fillId="0" borderId="79" xfId="56" applyFont="1" applyFill="1" applyBorder="1" applyAlignment="1" applyProtection="1">
      <alignment horizontal="left" vertical="center" shrinkToFit="1"/>
      <protection locked="0"/>
    </xf>
    <xf numFmtId="0" fontId="76" fillId="0" borderId="79" xfId="56" applyFont="1" applyFill="1" applyBorder="1" applyAlignment="1" applyProtection="1">
      <alignment horizontal="center" vertical="center" shrinkToFit="1"/>
      <protection locked="0"/>
    </xf>
    <xf numFmtId="14" fontId="76" fillId="0" borderId="79" xfId="56" applyNumberFormat="1" applyFont="1" applyFill="1" applyBorder="1" applyAlignment="1" applyProtection="1">
      <alignment horizontal="center" vertical="center" shrinkToFit="1"/>
      <protection locked="0"/>
    </xf>
    <xf numFmtId="0" fontId="76" fillId="0" borderId="80" xfId="56" applyFont="1" applyFill="1" applyBorder="1" applyAlignment="1" applyProtection="1">
      <alignment horizontal="center" vertical="center" shrinkToFit="1"/>
      <protection locked="0"/>
    </xf>
    <xf numFmtId="0" fontId="74" fillId="28" borderId="73" xfId="56" applyFont="1" applyFill="1" applyBorder="1" applyAlignment="1">
      <alignment horizontal="center" vertical="center" wrapText="1" readingOrder="1"/>
      <protection/>
    </xf>
    <xf numFmtId="0" fontId="74" fillId="28" borderId="77" xfId="56" applyFont="1" applyFill="1" applyBorder="1" applyAlignment="1">
      <alignment horizontal="center" vertical="center" wrapText="1" readingOrder="1"/>
      <protection/>
    </xf>
    <xf numFmtId="0" fontId="77" fillId="20" borderId="74" xfId="56" applyFont="1" applyFill="1" applyBorder="1" applyAlignment="1" applyProtection="1">
      <alignment horizontal="center" vertical="center" readingOrder="1"/>
      <protection/>
    </xf>
    <xf numFmtId="0" fontId="77" fillId="20" borderId="78" xfId="56" applyFont="1" applyFill="1" applyBorder="1" applyAlignment="1" applyProtection="1">
      <alignment horizontal="center" vertical="center" readingOrder="1"/>
      <protection/>
    </xf>
    <xf numFmtId="0" fontId="77" fillId="20" borderId="75" xfId="56" applyFont="1" applyFill="1" applyBorder="1" applyAlignment="1" applyProtection="1">
      <alignment horizontal="center" vertical="center" readingOrder="1"/>
      <protection/>
    </xf>
    <xf numFmtId="0" fontId="77" fillId="20" borderId="80" xfId="56" applyFont="1" applyFill="1" applyBorder="1" applyAlignment="1" applyProtection="1">
      <alignment horizontal="center" vertical="center" readingOrder="1"/>
      <protection/>
    </xf>
    <xf numFmtId="0" fontId="77" fillId="20" borderId="74" xfId="56" applyFont="1" applyFill="1" applyBorder="1" applyAlignment="1" applyProtection="1">
      <alignment horizontal="center" vertical="center" readingOrder="1"/>
      <protection locked="0"/>
    </xf>
    <xf numFmtId="0" fontId="77" fillId="20" borderId="78" xfId="56" applyFont="1" applyFill="1" applyBorder="1" applyAlignment="1" applyProtection="1">
      <alignment horizontal="center" vertical="center" readingOrder="1"/>
      <protection locked="0"/>
    </xf>
    <xf numFmtId="0" fontId="77" fillId="20" borderId="75" xfId="56" applyFont="1" applyFill="1" applyBorder="1" applyAlignment="1" applyProtection="1">
      <alignment horizontal="center" vertical="center" readingOrder="1"/>
      <protection locked="0"/>
    </xf>
    <xf numFmtId="0" fontId="77" fillId="20" borderId="80" xfId="56" applyFont="1" applyFill="1" applyBorder="1" applyAlignment="1" applyProtection="1">
      <alignment horizontal="center" vertical="center" readingOrder="1"/>
      <protection locked="0"/>
    </xf>
    <xf numFmtId="49" fontId="83" fillId="0" borderId="56" xfId="54" applyNumberFormat="1" applyFont="1" applyFill="1" applyBorder="1" applyAlignment="1">
      <alignment horizontal="center" vertical="center" wrapText="1" shrinkToFit="1"/>
      <protection/>
    </xf>
    <xf numFmtId="0" fontId="85" fillId="0" borderId="21" xfId="54" applyFont="1" applyBorder="1" applyAlignment="1">
      <alignment horizontal="center" wrapText="1" shrinkToFit="1"/>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xf>
    <xf numFmtId="0" fontId="15" fillId="0" borderId="0" xfId="0" applyFont="1" applyFill="1" applyBorder="1" applyAlignment="1" applyProtection="1">
      <alignment horizontal="center" vertical="center" wrapText="1"/>
      <protection/>
    </xf>
    <xf numFmtId="0" fontId="32" fillId="0" borderId="0" xfId="0" applyFont="1" applyFill="1" applyBorder="1" applyAlignment="1">
      <alignment vertical="center"/>
    </xf>
    <xf numFmtId="0" fontId="0" fillId="20" borderId="0" xfId="0" applyFont="1" applyFill="1" applyAlignment="1" applyProtection="1">
      <alignment/>
      <protection locked="0"/>
    </xf>
    <xf numFmtId="0" fontId="5"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xf>
    <xf numFmtId="0" fontId="5" fillId="0" borderId="81" xfId="0" applyFont="1" applyFill="1" applyBorder="1" applyAlignment="1">
      <alignment horizontal="center" vertical="center" wrapText="1"/>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shrinkToFit="1"/>
      <protection/>
    </xf>
    <xf numFmtId="0" fontId="0" fillId="20" borderId="58" xfId="0" applyFont="1" applyFill="1" applyBorder="1" applyAlignment="1">
      <alignment vertical="center"/>
    </xf>
    <xf numFmtId="0" fontId="0" fillId="20" borderId="21" xfId="0" applyFont="1" applyFill="1" applyBorder="1" applyAlignment="1">
      <alignment horizontal="center" vertical="center"/>
    </xf>
    <xf numFmtId="0" fontId="0" fillId="20" borderId="10" xfId="0" applyFont="1" applyFill="1" applyBorder="1" applyAlignment="1">
      <alignment vertical="center"/>
    </xf>
    <xf numFmtId="0" fontId="0" fillId="20" borderId="0" xfId="0" applyFont="1" applyFill="1" applyAlignment="1">
      <alignment vertical="center" shrinkToFit="1"/>
    </xf>
    <xf numFmtId="0" fontId="0" fillId="20" borderId="0" xfId="0" applyFont="1" applyFill="1" applyAlignment="1">
      <alignment vertical="center"/>
    </xf>
    <xf numFmtId="0" fontId="0" fillId="0" borderId="54" xfId="0" applyFont="1" applyFill="1" applyBorder="1" applyAlignment="1">
      <alignment vertical="center"/>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xf>
    <xf numFmtId="0" fontId="0" fillId="0" borderId="0" xfId="0" applyFont="1" applyAlignment="1">
      <alignment vertical="center"/>
    </xf>
    <xf numFmtId="0" fontId="0" fillId="0" borderId="83" xfId="0"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shrinkToFit="1"/>
    </xf>
    <xf numFmtId="0" fontId="14" fillId="32" borderId="0" xfId="0" applyFont="1" applyFill="1" applyAlignment="1">
      <alignment/>
    </xf>
    <xf numFmtId="0" fontId="90" fillId="32" borderId="0" xfId="0" applyFont="1" applyFill="1" applyAlignment="1">
      <alignment horizontal="center" vertical="center"/>
    </xf>
    <xf numFmtId="0" fontId="0" fillId="0" borderId="0" xfId="0" applyAlignment="1">
      <alignment horizontal="center" vertical="center" shrinkToFit="1"/>
    </xf>
    <xf numFmtId="0" fontId="0" fillId="0" borderId="0" xfId="0" applyFont="1" applyFill="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xf>
    <xf numFmtId="164" fontId="18" fillId="0" borderId="20" xfId="54" applyNumberFormat="1" applyFont="1" applyBorder="1" applyAlignment="1">
      <alignment/>
      <protection/>
    </xf>
    <xf numFmtId="0" fontId="14" fillId="24"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shrinkToFit="1"/>
      <protection locked="0"/>
    </xf>
    <xf numFmtId="14" fontId="0" fillId="0" borderId="0" xfId="0" applyNumberFormat="1" applyFont="1" applyFill="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0" fillId="20" borderId="0" xfId="54" applyFill="1" applyAlignment="1" applyProtection="1">
      <alignment horizontal="center"/>
      <protection/>
    </xf>
    <xf numFmtId="0" fontId="0" fillId="20" borderId="0" xfId="54" applyFill="1" applyAlignment="1" applyProtection="1">
      <alignment horizontal="center" vertical="top"/>
      <protection/>
    </xf>
    <xf numFmtId="0" fontId="0" fillId="20" borderId="0" xfId="54" applyFont="1" applyFill="1" applyAlignment="1" applyProtection="1">
      <alignment horizontal="center" textRotation="90" shrinkToFit="1"/>
      <protection/>
    </xf>
    <xf numFmtId="0" fontId="0" fillId="20" borderId="0" xfId="54" applyFont="1" applyFill="1" applyAlignment="1" applyProtection="1">
      <alignment horizontal="center" vertical="center" shrinkToFit="1"/>
      <protection locked="0"/>
    </xf>
    <xf numFmtId="0" fontId="0" fillId="20" borderId="0" xfId="54" applyFill="1" applyAlignment="1" applyProtection="1">
      <alignment horizontal="center" vertical="center" shrinkToFit="1"/>
      <protection locked="0"/>
    </xf>
    <xf numFmtId="0" fontId="81" fillId="20" borderId="72" xfId="54" applyFont="1" applyFill="1" applyBorder="1" applyAlignment="1" applyProtection="1">
      <alignment horizontal="center" vertical="center"/>
      <protection locked="0"/>
    </xf>
    <xf numFmtId="0" fontId="0" fillId="20" borderId="0" xfId="54" applyFill="1" applyAlignment="1" applyProtection="1">
      <alignment horizontal="left" vertical="center" shrinkToFit="1"/>
      <protection locked="0"/>
    </xf>
    <xf numFmtId="0" fontId="5" fillId="0" borderId="0" xfId="0" applyFont="1" applyFill="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3" fillId="0" borderId="84" xfId="0" applyNumberFormat="1" applyFont="1" applyBorder="1" applyAlignment="1" applyProtection="1">
      <alignment horizontal="center" vertical="center" shrinkToFit="1"/>
      <protection locked="0"/>
    </xf>
    <xf numFmtId="0" fontId="3" fillId="0" borderId="54" xfId="0" applyNumberFormat="1" applyFont="1" applyBorder="1" applyAlignment="1" applyProtection="1">
      <alignment horizontal="center" vertical="center" shrinkToFit="1"/>
      <protection locked="0"/>
    </xf>
    <xf numFmtId="0" fontId="89" fillId="0" borderId="84" xfId="0" applyNumberFormat="1" applyFont="1" applyBorder="1" applyAlignment="1" applyProtection="1">
      <alignment horizontal="center" vertical="center" shrinkToFit="1"/>
      <protection locked="0"/>
    </xf>
    <xf numFmtId="0" fontId="5" fillId="0" borderId="84" xfId="0" applyFont="1" applyFill="1" applyBorder="1" applyAlignment="1" applyProtection="1" quotePrefix="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3" fillId="0" borderId="82" xfId="0" applyNumberFormat="1" applyFont="1" applyBorder="1" applyAlignment="1" applyProtection="1">
      <alignment horizontal="center" vertical="center" shrinkToFit="1"/>
      <protection locked="0"/>
    </xf>
    <xf numFmtId="0" fontId="89" fillId="0" borderId="85" xfId="0" applyNumberFormat="1" applyFont="1" applyBorder="1" applyAlignment="1" applyProtection="1">
      <alignment horizontal="center" vertical="center" shrinkToFit="1"/>
      <protection/>
    </xf>
    <xf numFmtId="14" fontId="3" fillId="0" borderId="84" xfId="0" applyNumberFormat="1" applyFont="1" applyBorder="1" applyAlignment="1" applyProtection="1">
      <alignment horizontal="center" vertical="center" shrinkToFit="1"/>
      <protection locked="0"/>
    </xf>
    <xf numFmtId="0" fontId="0" fillId="0" borderId="84"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0" fontId="26" fillId="0" borderId="12" xfId="53" applyFont="1" applyBorder="1" applyAlignment="1">
      <alignment shrinkToFit="1"/>
      <protection/>
    </xf>
    <xf numFmtId="0" fontId="0" fillId="0" borderId="12" xfId="0" applyNumberFormat="1" applyFont="1" applyBorder="1" applyAlignment="1" applyProtection="1">
      <alignment horizontal="center" shrinkToFit="1"/>
      <protection/>
    </xf>
    <xf numFmtId="0" fontId="88" fillId="0" borderId="0" xfId="0" applyFont="1" applyAlignment="1">
      <alignment horizontal="center" vertical="center"/>
    </xf>
    <xf numFmtId="0" fontId="5" fillId="0" borderId="86" xfId="0" applyFont="1" applyFill="1" applyBorder="1" applyAlignment="1">
      <alignment horizontal="center" vertical="center" wrapText="1"/>
    </xf>
    <xf numFmtId="0" fontId="5" fillId="0" borderId="81" xfId="0" applyFont="1" applyFill="1" applyBorder="1" applyAlignment="1">
      <alignment horizontal="center"/>
    </xf>
    <xf numFmtId="0" fontId="88" fillId="0" borderId="2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87"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6" fillId="0" borderId="81"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8" fillId="0" borderId="15" xfId="0" applyFont="1" applyBorder="1" applyAlignment="1">
      <alignment horizontal="center" vertical="top"/>
    </xf>
    <xf numFmtId="0" fontId="86" fillId="0" borderId="12" xfId="0" applyFont="1" applyBorder="1" applyAlignment="1">
      <alignment horizontal="center"/>
    </xf>
    <xf numFmtId="0" fontId="0" fillId="0" borderId="0" xfId="0" applyBorder="1" applyAlignment="1">
      <alignment horizontal="left" vertical="center"/>
    </xf>
    <xf numFmtId="0" fontId="0" fillId="0" borderId="12" xfId="0" applyBorder="1" applyAlignment="1">
      <alignment horizontal="center" vertical="center"/>
    </xf>
    <xf numFmtId="0" fontId="5" fillId="0" borderId="54" xfId="0" applyFont="1" applyFill="1" applyBorder="1" applyAlignment="1">
      <alignment horizontal="center" vertical="center" wrapText="1"/>
    </xf>
    <xf numFmtId="0" fontId="3" fillId="27" borderId="12" xfId="56" applyFont="1" applyFill="1" applyBorder="1" applyAlignment="1">
      <alignment horizontal="center" vertical="center" wrapText="1" shrinkToFit="1" readingOrder="1"/>
      <protection/>
    </xf>
    <xf numFmtId="0" fontId="3" fillId="27" borderId="88" xfId="56" applyFont="1" applyFill="1" applyBorder="1" applyAlignment="1">
      <alignment horizontal="center" vertical="center" wrapText="1" shrinkToFit="1" readingOrder="1"/>
      <protection/>
    </xf>
    <xf numFmtId="0" fontId="65" fillId="0" borderId="0" xfId="56" applyFont="1" applyBorder="1" applyAlignment="1">
      <alignment horizontal="left" vertical="top" indent="7" readingOrder="1"/>
      <protection/>
    </xf>
    <xf numFmtId="0" fontId="72" fillId="0" borderId="0" xfId="56" applyFont="1" applyBorder="1" applyAlignment="1">
      <alignment horizontal="center" vertical="top" readingOrder="1"/>
      <protection/>
    </xf>
    <xf numFmtId="164" fontId="18" fillId="0" borderId="20" xfId="54" applyNumberFormat="1" applyFont="1" applyFill="1" applyBorder="1" applyAlignment="1">
      <alignment horizontal="center"/>
      <protection/>
    </xf>
    <xf numFmtId="0" fontId="0" fillId="0" borderId="0" xfId="54" applyFont="1" applyFill="1" applyAlignment="1">
      <alignment horizontal="center"/>
      <protection/>
    </xf>
    <xf numFmtId="0" fontId="20" fillId="2" borderId="89" xfId="54" applyFont="1" applyFill="1" applyBorder="1" applyAlignment="1">
      <alignment horizontal="center" vertical="center" shrinkToFit="1"/>
      <protection/>
    </xf>
    <xf numFmtId="0" fontId="20" fillId="2" borderId="90" xfId="54" applyFont="1" applyFill="1" applyBorder="1" applyAlignment="1">
      <alignment horizontal="center" vertical="center" shrinkToFit="1"/>
      <protection/>
    </xf>
    <xf numFmtId="0" fontId="20" fillId="2" borderId="91" xfId="54" applyFont="1" applyFill="1" applyBorder="1" applyAlignment="1">
      <alignment horizontal="center" vertical="center" shrinkToFit="1"/>
      <protection/>
    </xf>
    <xf numFmtId="49" fontId="16" fillId="0" borderId="92" xfId="54" applyNumberFormat="1" applyFont="1" applyFill="1" applyBorder="1" applyAlignment="1">
      <alignment horizontal="center" vertical="top"/>
      <protection/>
    </xf>
    <xf numFmtId="49" fontId="16" fillId="0" borderId="93" xfId="54" applyNumberFormat="1" applyFont="1" applyFill="1" applyBorder="1" applyAlignment="1">
      <alignment horizontal="center" vertical="top"/>
      <protection/>
    </xf>
    <xf numFmtId="49" fontId="16" fillId="0" borderId="94" xfId="54" applyNumberFormat="1" applyFont="1" applyFill="1" applyBorder="1" applyAlignment="1">
      <alignment horizontal="center" vertical="top"/>
      <protection/>
    </xf>
    <xf numFmtId="0" fontId="20" fillId="2" borderId="21" xfId="54" applyFont="1" applyFill="1" applyBorder="1" applyAlignment="1">
      <alignment horizontal="center" shrinkToFit="1"/>
      <protection/>
    </xf>
    <xf numFmtId="0" fontId="20" fillId="2" borderId="33" xfId="54" applyFont="1" applyFill="1" applyBorder="1" applyAlignment="1">
      <alignment horizontal="center" shrinkToFit="1"/>
      <protection/>
    </xf>
    <xf numFmtId="0" fontId="20" fillId="2" borderId="71" xfId="54" applyFont="1" applyFill="1" applyBorder="1" applyAlignment="1">
      <alignment horizontal="center" shrinkToFit="1"/>
      <protection/>
    </xf>
    <xf numFmtId="0" fontId="20" fillId="2" borderId="51" xfId="54" applyFont="1" applyFill="1" applyBorder="1" applyAlignment="1">
      <alignment horizontal="center" vertical="center" shrinkToFit="1"/>
      <protection/>
    </xf>
    <xf numFmtId="0" fontId="20" fillId="2" borderId="95" xfId="54" applyFont="1" applyFill="1" applyBorder="1" applyAlignment="1">
      <alignment horizontal="center" vertical="center" shrinkToFit="1"/>
      <protection/>
    </xf>
    <xf numFmtId="0" fontId="20" fillId="2" borderId="24" xfId="54" applyFont="1" applyFill="1" applyBorder="1" applyAlignment="1">
      <alignment horizontal="center" vertical="center"/>
      <protection/>
    </xf>
    <xf numFmtId="0" fontId="20" fillId="2" borderId="14" xfId="54" applyFont="1" applyFill="1" applyBorder="1" applyAlignment="1">
      <alignment horizontal="center" vertical="center"/>
      <protection/>
    </xf>
    <xf numFmtId="0" fontId="20" fillId="2" borderId="96" xfId="54" applyFont="1" applyFill="1" applyBorder="1" applyAlignment="1">
      <alignment horizontal="center" shrinkToFit="1"/>
      <protection/>
    </xf>
    <xf numFmtId="0" fontId="20" fillId="2" borderId="70" xfId="54" applyFont="1" applyFill="1" applyBorder="1" applyAlignment="1">
      <alignment horizontal="center" shrinkToFit="1"/>
      <protection/>
    </xf>
    <xf numFmtId="0" fontId="46" fillId="0" borderId="97" xfId="54" applyFont="1" applyFill="1" applyBorder="1" applyAlignment="1">
      <alignment horizontal="center" vertical="center" shrinkToFit="1"/>
      <protection/>
    </xf>
    <xf numFmtId="0" fontId="0" fillId="0" borderId="12" xfId="54" applyFont="1" applyBorder="1" applyAlignment="1">
      <alignment horizontal="center"/>
      <protection/>
    </xf>
    <xf numFmtId="49" fontId="20" fillId="0" borderId="19" xfId="54" applyNumberFormat="1" applyFont="1" applyFill="1" applyBorder="1" applyAlignment="1">
      <alignment horizontal="center" vertical="center" wrapText="1"/>
      <protection/>
    </xf>
    <xf numFmtId="49" fontId="20" fillId="0" borderId="20" xfId="54" applyNumberFormat="1" applyFont="1" applyFill="1" applyBorder="1" applyAlignment="1">
      <alignment horizontal="center" vertical="center" wrapText="1"/>
      <protection/>
    </xf>
    <xf numFmtId="49" fontId="20" fillId="0" borderId="16" xfId="54" applyNumberFormat="1" applyFont="1" applyFill="1" applyBorder="1" applyAlignment="1">
      <alignment horizontal="center" vertical="center" wrapText="1"/>
      <protection/>
    </xf>
    <xf numFmtId="49" fontId="20" fillId="0" borderId="98" xfId="54" applyNumberFormat="1" applyFont="1" applyFill="1" applyBorder="1" applyAlignment="1">
      <alignment horizontal="center" vertical="center" wrapText="1"/>
      <protection/>
    </xf>
    <xf numFmtId="0" fontId="46" fillId="0" borderId="45" xfId="54" applyFont="1" applyFill="1" applyBorder="1" applyAlignment="1">
      <alignment horizontal="center" vertical="center" shrinkToFit="1"/>
      <protection/>
    </xf>
    <xf numFmtId="0" fontId="46" fillId="0" borderId="99" xfId="54" applyFont="1" applyFill="1" applyBorder="1" applyAlignment="1">
      <alignment horizontal="center" vertical="center" shrinkToFit="1"/>
      <protection/>
    </xf>
    <xf numFmtId="49" fontId="20" fillId="0" borderId="17" xfId="54" applyNumberFormat="1" applyFont="1" applyFill="1" applyBorder="1" applyAlignment="1">
      <alignment horizontal="center" vertical="center" wrapText="1"/>
      <protection/>
    </xf>
    <xf numFmtId="49" fontId="20" fillId="0" borderId="100" xfId="54" applyNumberFormat="1" applyFont="1" applyFill="1" applyBorder="1" applyAlignment="1">
      <alignment horizontal="center" vertical="center" wrapText="1"/>
      <protection/>
    </xf>
    <xf numFmtId="49" fontId="20" fillId="0" borderId="31" xfId="54" applyNumberFormat="1" applyFont="1" applyFill="1" applyBorder="1" applyAlignment="1">
      <alignment horizontal="center" vertical="center" wrapText="1"/>
      <protection/>
    </xf>
    <xf numFmtId="49" fontId="20" fillId="0" borderId="53" xfId="54" applyNumberFormat="1" applyFont="1" applyFill="1" applyBorder="1" applyAlignment="1">
      <alignment horizontal="center" vertical="center" wrapText="1"/>
      <protection/>
    </xf>
    <xf numFmtId="0" fontId="0" fillId="0" borderId="12" xfId="54" applyBorder="1" applyAlignment="1" applyProtection="1">
      <alignment horizontal="left" shrinkToFit="1"/>
      <protection locked="0"/>
    </xf>
    <xf numFmtId="49" fontId="44" fillId="0" borderId="15" xfId="54" applyNumberFormat="1" applyFont="1" applyFill="1" applyBorder="1" applyAlignment="1">
      <alignment horizontal="center" vertical="top"/>
      <protection/>
    </xf>
    <xf numFmtId="0" fontId="46" fillId="0" borderId="101" xfId="54" applyFont="1" applyFill="1" applyBorder="1" applyAlignment="1">
      <alignment horizontal="center" vertical="center" shrinkToFit="1"/>
      <protection/>
    </xf>
    <xf numFmtId="49" fontId="16" fillId="0" borderId="0" xfId="54" applyNumberFormat="1" applyFont="1" applyAlignment="1">
      <alignment horizontal="center"/>
      <protection/>
    </xf>
    <xf numFmtId="0" fontId="0" fillId="0" borderId="88" xfId="54" applyFont="1" applyBorder="1" applyAlignment="1">
      <alignment horizontal="center"/>
      <protection/>
    </xf>
    <xf numFmtId="49" fontId="40" fillId="0" borderId="15" xfId="54" applyNumberFormat="1" applyFont="1" applyBorder="1" applyAlignment="1">
      <alignment horizontal="center" vertical="top"/>
      <protection/>
    </xf>
    <xf numFmtId="49" fontId="40" fillId="0" borderId="0" xfId="54" applyNumberFormat="1" applyFont="1" applyBorder="1" applyAlignment="1">
      <alignment horizontal="center" vertical="top"/>
      <protection/>
    </xf>
    <xf numFmtId="0" fontId="17" fillId="0" borderId="0" xfId="54" applyNumberFormat="1" applyFont="1" applyBorder="1" applyAlignment="1">
      <alignment horizontal="center"/>
      <protection/>
    </xf>
    <xf numFmtId="0" fontId="0" fillId="0" borderId="15" xfId="54" applyFont="1" applyBorder="1" applyAlignment="1">
      <alignment horizontal="center"/>
      <protection/>
    </xf>
    <xf numFmtId="0" fontId="0" fillId="0" borderId="0" xfId="54" applyFont="1" applyBorder="1" applyAlignment="1">
      <alignment horizontal="center"/>
      <protection/>
    </xf>
    <xf numFmtId="0" fontId="20" fillId="2" borderId="10" xfId="54" applyFont="1" applyFill="1" applyBorder="1" applyAlignment="1">
      <alignment horizontal="center" vertical="center"/>
      <protection/>
    </xf>
    <xf numFmtId="0" fontId="40" fillId="0" borderId="15" xfId="55" applyFont="1" applyBorder="1" applyAlignment="1">
      <alignment horizontal="center" vertical="top"/>
      <protection/>
    </xf>
    <xf numFmtId="0" fontId="20" fillId="2" borderId="29" xfId="54" applyFont="1" applyFill="1" applyBorder="1" applyAlignment="1">
      <alignment horizontal="center" vertical="center"/>
      <protection/>
    </xf>
    <xf numFmtId="0" fontId="0" fillId="0" borderId="0" xfId="54" applyFont="1" applyAlignment="1">
      <alignment horizontal="center"/>
      <protection/>
    </xf>
    <xf numFmtId="164" fontId="18" fillId="0" borderId="20" xfId="54" applyNumberFormat="1" applyFont="1" applyBorder="1" applyAlignment="1">
      <alignment horizontal="center"/>
      <protection/>
    </xf>
    <xf numFmtId="0" fontId="39" fillId="0" borderId="0" xfId="54" applyNumberFormat="1" applyFont="1" applyBorder="1" applyAlignment="1">
      <alignment horizontal="center"/>
      <protection/>
    </xf>
    <xf numFmtId="0" fontId="8" fillId="0" borderId="15" xfId="0" applyNumberFormat="1" applyFont="1" applyBorder="1" applyAlignment="1" applyProtection="1">
      <alignment horizontal="center" vertical="center" wrapText="1"/>
      <protection/>
    </xf>
    <xf numFmtId="0" fontId="26" fillId="0" borderId="102" xfId="0" applyFont="1" applyBorder="1" applyAlignment="1" applyProtection="1">
      <alignment horizontal="left" vertical="center" shrinkToFit="1"/>
      <protection/>
    </xf>
    <xf numFmtId="0" fontId="26" fillId="0" borderId="103"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5" xfId="0" applyFont="1" applyBorder="1" applyAlignment="1" applyProtection="1">
      <alignment horizontal="left" vertical="center" shrinkToFit="1"/>
      <protection/>
    </xf>
    <xf numFmtId="0" fontId="26" fillId="0" borderId="106" xfId="0" applyFont="1" applyBorder="1" applyAlignment="1" applyProtection="1">
      <alignment horizontal="left" vertical="center" shrinkToFit="1"/>
      <protection/>
    </xf>
    <xf numFmtId="0" fontId="26" fillId="0" borderId="107" xfId="0" applyFont="1" applyBorder="1" applyAlignment="1" applyProtection="1">
      <alignment horizontal="left" vertical="center" shrinkToFit="1"/>
      <protection/>
    </xf>
    <xf numFmtId="0" fontId="0" fillId="0" borderId="99" xfId="0" applyFont="1" applyBorder="1" applyAlignment="1">
      <alignment horizontal="center" vertical="center" shrinkToFit="1"/>
    </xf>
    <xf numFmtId="0" fontId="0" fillId="0" borderId="45" xfId="0" applyFont="1" applyBorder="1" applyAlignment="1">
      <alignment horizontal="center" vertical="center" shrinkToFit="1"/>
    </xf>
    <xf numFmtId="0" fontId="26" fillId="0" borderId="12" xfId="0" applyNumberFormat="1" applyFont="1" applyBorder="1" applyAlignment="1" applyProtection="1">
      <alignment horizontal="center" vertical="center" shrinkToFit="1"/>
      <protection/>
    </xf>
    <xf numFmtId="0" fontId="26" fillId="0" borderId="13" xfId="0" applyNumberFormat="1" applyFont="1" applyBorder="1" applyAlignment="1" applyProtection="1">
      <alignment horizontal="center" vertical="center" shrinkToFit="1"/>
      <protection/>
    </xf>
    <xf numFmtId="49" fontId="12" fillId="0" borderId="108" xfId="0" applyNumberFormat="1" applyFont="1" applyFill="1" applyBorder="1" applyAlignment="1">
      <alignment horizontal="center" vertical="center" shrinkToFit="1"/>
    </xf>
    <xf numFmtId="49" fontId="12" fillId="0" borderId="109"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10"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12" fillId="0" borderId="95" xfId="0" applyNumberFormat="1" applyFont="1" applyFill="1" applyBorder="1" applyAlignment="1">
      <alignment horizontal="center" vertical="center" wrapText="1" shrinkToFit="1"/>
    </xf>
    <xf numFmtId="0" fontId="0" fillId="0" borderId="101" xfId="0" applyFont="1" applyBorder="1" applyAlignment="1">
      <alignment horizontal="center" vertical="center" shrinkToFit="1"/>
    </xf>
    <xf numFmtId="0" fontId="0" fillId="0" borderId="90" xfId="0" applyNumberFormat="1" applyFont="1" applyBorder="1" applyAlignment="1" applyProtection="1">
      <alignment horizontal="center" vertical="center" shrinkToFit="1"/>
      <protection/>
    </xf>
    <xf numFmtId="0" fontId="0" fillId="0" borderId="95" xfId="0" applyNumberFormat="1" applyFont="1" applyBorder="1" applyAlignment="1" applyProtection="1">
      <alignment horizontal="center" vertical="center" shrinkToFit="1"/>
      <protection/>
    </xf>
    <xf numFmtId="0" fontId="26" fillId="0" borderId="111" xfId="0" applyFont="1" applyBorder="1" applyAlignment="1" applyProtection="1">
      <alignment horizontal="left" vertical="center" shrinkToFit="1"/>
      <protection/>
    </xf>
    <xf numFmtId="0" fontId="26" fillId="0" borderId="112" xfId="0" applyFont="1" applyBorder="1" applyAlignment="1" applyProtection="1">
      <alignment horizontal="left" vertical="center" shrinkToFit="1"/>
      <protection/>
    </xf>
    <xf numFmtId="0" fontId="26" fillId="0" borderId="113" xfId="0" applyFont="1" applyBorder="1" applyAlignment="1" applyProtection="1">
      <alignment horizontal="left" vertical="center" shrinkToFit="1"/>
      <protection/>
    </xf>
    <xf numFmtId="0" fontId="0" fillId="0" borderId="91" xfId="0" applyNumberFormat="1" applyFont="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108" xfId="0" applyFont="1" applyBorder="1" applyAlignment="1">
      <alignment horizontal="center" vertical="center" shrinkToFit="1"/>
    </xf>
    <xf numFmtId="0" fontId="0" fillId="0" borderId="96" xfId="0" applyFont="1" applyBorder="1" applyAlignment="1">
      <alignment horizontal="center" vertical="center" wrapText="1"/>
    </xf>
    <xf numFmtId="0" fontId="0" fillId="0" borderId="70" xfId="0" applyFont="1" applyBorder="1" applyAlignment="1">
      <alignment horizontal="center" vertical="center" wrapText="1"/>
    </xf>
    <xf numFmtId="0" fontId="0" fillId="4" borderId="96"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26" fillId="0" borderId="114"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26" fillId="0" borderId="13" xfId="0" applyFont="1" applyBorder="1" applyAlignment="1" applyProtection="1">
      <alignment horizontal="center" vertical="center" shrinkToFit="1"/>
      <protection/>
    </xf>
    <xf numFmtId="0" fontId="0" fillId="0" borderId="33" xfId="0" applyFont="1" applyBorder="1" applyAlignment="1">
      <alignment horizontal="center" vertical="center" wrapText="1"/>
    </xf>
    <xf numFmtId="0" fontId="0" fillId="0" borderId="71" xfId="0" applyFont="1" applyBorder="1" applyAlignment="1">
      <alignment horizontal="center" vertical="center" wrapText="1"/>
    </xf>
    <xf numFmtId="0" fontId="0" fillId="10" borderId="33" xfId="0" applyFont="1" applyFill="1" applyBorder="1" applyAlignment="1" applyProtection="1">
      <alignment horizontal="center" vertical="center" shrinkToFit="1"/>
      <protection locked="0"/>
    </xf>
    <xf numFmtId="0" fontId="0" fillId="10" borderId="71" xfId="0" applyFont="1" applyFill="1" applyBorder="1" applyAlignment="1" applyProtection="1">
      <alignment horizontal="center" vertical="center" shrinkToFit="1"/>
      <protection locked="0"/>
    </xf>
    <xf numFmtId="0" fontId="26" fillId="0" borderId="15"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0" fillId="0" borderId="19" xfId="0" applyFont="1" applyBorder="1" applyAlignment="1">
      <alignment horizontal="center" shrinkToFit="1"/>
    </xf>
    <xf numFmtId="0" fontId="0" fillId="0" borderId="12" xfId="0" applyFont="1" applyBorder="1" applyAlignment="1">
      <alignment horizontal="center" shrinkToFit="1"/>
    </xf>
    <xf numFmtId="0" fontId="0" fillId="0" borderId="19" xfId="0" applyFont="1" applyBorder="1" applyAlignment="1">
      <alignment horizontal="center" wrapText="1"/>
    </xf>
    <xf numFmtId="0" fontId="0" fillId="0" borderId="12" xfId="0" applyFont="1" applyBorder="1" applyAlignment="1">
      <alignment horizontal="center" wrapTex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49" fontId="26" fillId="0" borderId="15" xfId="0" applyNumberFormat="1" applyFont="1" applyBorder="1" applyAlignment="1" applyProtection="1">
      <alignment horizontal="center" vertical="center" shrinkToFit="1"/>
      <protection locked="0"/>
    </xf>
    <xf numFmtId="0" fontId="0" fillId="4" borderId="33" xfId="0" applyFont="1" applyFill="1" applyBorder="1" applyAlignment="1" applyProtection="1">
      <alignment horizontal="center" vertical="center" shrinkToFit="1"/>
      <protection locked="0"/>
    </xf>
    <xf numFmtId="0" fontId="0" fillId="4" borderId="71" xfId="0" applyFont="1" applyFill="1" applyBorder="1" applyAlignment="1" applyProtection="1">
      <alignment horizontal="center" vertical="center" shrinkToFit="1"/>
      <protection locked="0"/>
    </xf>
    <xf numFmtId="0" fontId="26" fillId="0" borderId="87" xfId="0" applyNumberFormat="1" applyFont="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4" xfId="0" applyNumberFormat="1" applyFont="1" applyFill="1" applyBorder="1" applyAlignment="1">
      <alignment horizontal="center" vertical="center" shrinkToFit="1"/>
    </xf>
    <xf numFmtId="0" fontId="26" fillId="0" borderId="12" xfId="0" applyNumberFormat="1" applyFont="1" applyFill="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10" borderId="96" xfId="0" applyFont="1" applyFill="1" applyBorder="1" applyAlignment="1" applyProtection="1">
      <alignment horizontal="center" vertical="center" shrinkToFit="1"/>
      <protection locked="0"/>
    </xf>
    <xf numFmtId="0" fontId="0" fillId="10" borderId="70" xfId="0" applyFont="1" applyFill="1" applyBorder="1" applyAlignment="1" applyProtection="1">
      <alignment horizontal="center" vertical="center" shrinkToFit="1"/>
      <protection locked="0"/>
    </xf>
    <xf numFmtId="0" fontId="26" fillId="0" borderId="0" xfId="0" applyNumberFormat="1" applyFont="1" applyBorder="1" applyAlignment="1">
      <alignment horizont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12" fillId="0" borderId="10"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0" fillId="0" borderId="12" xfId="0" applyNumberFormat="1" applyFont="1" applyBorder="1" applyAlignment="1" applyProtection="1">
      <alignment horizontal="center" shrinkToFit="1"/>
      <protection/>
    </xf>
    <xf numFmtId="0" fontId="8" fillId="0" borderId="0" xfId="0" applyFont="1" applyAlignment="1">
      <alignment horizontal="center"/>
    </xf>
    <xf numFmtId="0" fontId="0" fillId="0" borderId="12" xfId="0" applyFont="1" applyBorder="1" applyAlignment="1" applyProtection="1">
      <alignment horizontal="center" shrinkToFit="1"/>
      <protection/>
    </xf>
    <xf numFmtId="0" fontId="5" fillId="0" borderId="0" xfId="0" applyFont="1" applyAlignment="1">
      <alignment horizontal="center" vertical="center" wrapText="1"/>
    </xf>
    <xf numFmtId="0" fontId="6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64" fillId="0" borderId="12" xfId="0" applyFont="1" applyBorder="1" applyAlignment="1" applyProtection="1">
      <alignment horizontal="center" vertical="center" shrinkToFit="1"/>
      <protection/>
    </xf>
    <xf numFmtId="0" fontId="11" fillId="0" borderId="115"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0" xfId="0" applyFont="1" applyAlignment="1">
      <alignment horizont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10"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15" xfId="0" applyFill="1" applyBorder="1" applyAlignment="1">
      <alignment horizontal="center" vertical="center" wrapText="1"/>
    </xf>
    <xf numFmtId="0" fontId="8" fillId="0" borderId="15" xfId="0" applyNumberFormat="1" applyFont="1" applyBorder="1" applyAlignment="1">
      <alignment horizontal="center" vertical="top" wrapText="1"/>
    </xf>
    <xf numFmtId="0" fontId="26" fillId="0" borderId="0" xfId="0" applyFont="1" applyBorder="1" applyAlignment="1">
      <alignment horizontal="center" shrinkToFit="1"/>
    </xf>
    <xf numFmtId="0" fontId="8" fillId="0" borderId="15" xfId="0" applyFont="1" applyBorder="1" applyAlignment="1">
      <alignment horizontal="center" vertical="top" wrapText="1"/>
    </xf>
    <xf numFmtId="0" fontId="0" fillId="0" borderId="0" xfId="0"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5"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6" fillId="0" borderId="10" xfId="0" applyNumberFormat="1" applyFont="1" applyBorder="1" applyAlignment="1" applyProtection="1">
      <alignment horizontal="center" vertical="center" shrinkToFit="1"/>
      <protection/>
    </xf>
    <xf numFmtId="0" fontId="26" fillId="0" borderId="0" xfId="0" applyNumberFormat="1" applyFont="1" applyBorder="1" applyAlignment="1" applyProtection="1">
      <alignment horizontal="center" vertical="center" shrinkToFit="1"/>
      <protection/>
    </xf>
    <xf numFmtId="0" fontId="26" fillId="0" borderId="15" xfId="0" applyFont="1" applyBorder="1" applyAlignment="1" applyProtection="1">
      <alignment horizontal="center" vertical="center" wrapText="1"/>
      <protection locked="0"/>
    </xf>
    <xf numFmtId="0" fontId="5" fillId="0" borderId="0" xfId="0" applyFont="1" applyAlignment="1">
      <alignment horizontal="center" wrapText="1"/>
    </xf>
    <xf numFmtId="0" fontId="88" fillId="0" borderId="12" xfId="0" applyFont="1" applyBorder="1" applyAlignment="1" applyProtection="1">
      <alignment horizontal="center" vertical="center" shrinkToFit="1"/>
      <protection/>
    </xf>
    <xf numFmtId="0" fontId="8" fillId="0" borderId="15" xfId="0" applyFont="1" applyBorder="1" applyAlignment="1">
      <alignment horizontal="center" vertical="center"/>
    </xf>
    <xf numFmtId="0" fontId="0" fillId="0" borderId="0" xfId="0" applyFont="1" applyAlignment="1">
      <alignment horizontal="center" vertical="center" wrapText="1"/>
    </xf>
    <xf numFmtId="0" fontId="26" fillId="0" borderId="11" xfId="0" applyNumberFormat="1"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4" borderId="96" xfId="0" applyFont="1" applyFill="1" applyBorder="1" applyAlignment="1" applyProtection="1">
      <alignment horizontal="center" vertical="center" shrinkToFit="1"/>
      <protection/>
    </xf>
    <xf numFmtId="0" fontId="0" fillId="4" borderId="70" xfId="0" applyFont="1" applyFill="1" applyBorder="1" applyAlignment="1" applyProtection="1">
      <alignment horizontal="center" vertical="center" shrinkToFit="1"/>
      <protection/>
    </xf>
    <xf numFmtId="0" fontId="0" fillId="4" borderId="33" xfId="0" applyFont="1" applyFill="1" applyBorder="1" applyAlignment="1" applyProtection="1">
      <alignment horizontal="center" vertical="center" shrinkToFit="1"/>
      <protection/>
    </xf>
    <xf numFmtId="0" fontId="0" fillId="4" borderId="71" xfId="0" applyFont="1" applyFill="1" applyBorder="1" applyAlignment="1" applyProtection="1">
      <alignment horizontal="center" vertical="center" shrinkToFit="1"/>
      <protection/>
    </xf>
    <xf numFmtId="0" fontId="26" fillId="0" borderId="15" xfId="0" applyNumberFormat="1" applyFont="1" applyBorder="1" applyAlignment="1" applyProtection="1">
      <alignment horizontal="center" vertical="center" shrinkToFit="1"/>
      <protection/>
    </xf>
    <xf numFmtId="0" fontId="26" fillId="0" borderId="87"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top" shrinkToFit="1"/>
      <protection locked="0"/>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5" xfId="0" applyFont="1" applyBorder="1" applyAlignment="1" applyProtection="1">
      <alignment horizontal="center" vertical="top" wrapText="1"/>
      <protection locked="0"/>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11" fillId="4" borderId="11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87" xfId="0" applyNumberFormat="1" applyFont="1" applyBorder="1" applyAlignment="1" applyProtection="1">
      <alignment horizontal="center" vertical="top" shrinkToFit="1"/>
      <protection locked="0"/>
    </xf>
    <xf numFmtId="0" fontId="0" fillId="0" borderId="27"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11" xfId="0" applyFont="1" applyBorder="1" applyAlignment="1" applyProtection="1">
      <alignment horizontal="center" shrinkToFit="1"/>
      <protection/>
    </xf>
    <xf numFmtId="0" fontId="0" fillId="0" borderId="1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114" xfId="0" applyFont="1" applyBorder="1" applyAlignment="1" applyProtection="1">
      <alignment horizontal="center" vertical="top" shrinkToFit="1"/>
      <protection/>
    </xf>
    <xf numFmtId="0" fontId="0" fillId="0" borderId="12" xfId="0" applyFont="1" applyBorder="1" applyAlignment="1" applyProtection="1">
      <alignment horizontal="center" vertical="top" shrinkToFit="1"/>
      <protection/>
    </xf>
    <xf numFmtId="0" fontId="0" fillId="0" borderId="13" xfId="0" applyFont="1" applyBorder="1" applyAlignment="1" applyProtection="1">
      <alignment horizontal="center" vertical="top" shrinkToFit="1"/>
      <protection/>
    </xf>
    <xf numFmtId="0" fontId="0" fillId="0" borderId="12" xfId="0" applyNumberFormat="1" applyFont="1" applyBorder="1" applyAlignment="1" applyProtection="1">
      <alignment horizontal="center" vertical="top" shrinkToFit="1"/>
      <protection/>
    </xf>
    <xf numFmtId="0" fontId="0" fillId="0" borderId="14" xfId="0" applyFont="1" applyBorder="1" applyAlignment="1" applyProtection="1">
      <alignment horizontal="left" vertical="top" shrinkToFit="1"/>
      <protection/>
    </xf>
    <xf numFmtId="0" fontId="0" fillId="0" borderId="12" xfId="0" applyFont="1" applyBorder="1" applyAlignment="1" applyProtection="1">
      <alignment horizontal="left" vertical="top" shrinkToFit="1"/>
      <protection/>
    </xf>
    <xf numFmtId="0" fontId="0" fillId="0" borderId="13" xfId="0" applyFont="1" applyBorder="1" applyAlignment="1" applyProtection="1">
      <alignment horizontal="left" vertical="top" shrinkToFit="1"/>
      <protection/>
    </xf>
    <xf numFmtId="0" fontId="0" fillId="0" borderId="105" xfId="0" applyFont="1" applyBorder="1" applyAlignment="1" applyProtection="1">
      <alignment horizontal="left" shrinkToFit="1"/>
      <protection/>
    </xf>
    <xf numFmtId="0" fontId="0" fillId="0" borderId="106" xfId="0" applyFont="1" applyBorder="1" applyAlignment="1" applyProtection="1">
      <alignment horizontal="left" shrinkToFit="1"/>
      <protection/>
    </xf>
    <xf numFmtId="0" fontId="0" fillId="0" borderId="107" xfId="0" applyFont="1" applyBorder="1" applyAlignment="1" applyProtection="1">
      <alignment horizontal="left" shrinkToFit="1"/>
      <protection/>
    </xf>
    <xf numFmtId="49" fontId="0" fillId="0" borderId="15" xfId="0" applyNumberFormat="1" applyFont="1" applyBorder="1" applyAlignment="1" applyProtection="1">
      <alignment horizontal="center" vertical="top" shrinkToFit="1"/>
      <protection locked="0"/>
    </xf>
    <xf numFmtId="0" fontId="0" fillId="0" borderId="15" xfId="0" applyNumberFormat="1" applyFont="1" applyBorder="1" applyAlignment="1" applyProtection="1">
      <alignment horizontal="center" vertical="top" shrinkToFit="1"/>
      <protection locked="0"/>
    </xf>
    <xf numFmtId="0" fontId="0" fillId="0" borderId="10" xfId="0" applyNumberFormat="1" applyFont="1" applyBorder="1" applyAlignment="1" applyProtection="1">
      <alignment horizontal="center" shrinkToFit="1"/>
      <protection/>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0" xfId="0" applyNumberFormat="1" applyFont="1" applyBorder="1" applyAlignment="1">
      <alignment horizontal="center" shrinkToFit="1"/>
    </xf>
    <xf numFmtId="0" fontId="12" fillId="0" borderId="12"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shrinkToFit="1"/>
    </xf>
    <xf numFmtId="49" fontId="12" fillId="0" borderId="116" xfId="0" applyNumberFormat="1" applyFont="1" applyFill="1" applyBorder="1" applyAlignment="1">
      <alignment horizontal="center" vertical="center" shrinkToFit="1"/>
    </xf>
    <xf numFmtId="49" fontId="12" fillId="0" borderId="117" xfId="0" applyNumberFormat="1" applyFont="1" applyFill="1" applyBorder="1" applyAlignment="1">
      <alignment horizontal="center" vertical="center" shrinkToFit="1"/>
    </xf>
    <xf numFmtId="0" fontId="86" fillId="0" borderId="12" xfId="0" applyFont="1" applyBorder="1" applyAlignment="1" applyProtection="1">
      <alignment horizontal="center" vertical="center" shrinkToFit="1"/>
      <protection/>
    </xf>
    <xf numFmtId="0" fontId="0" fillId="0" borderId="111" xfId="0" applyFont="1" applyBorder="1" applyAlignment="1" applyProtection="1">
      <alignment horizontal="left" vertical="top" shrinkToFit="1"/>
      <protection/>
    </xf>
    <xf numFmtId="0" fontId="0" fillId="0" borderId="112" xfId="0" applyFont="1" applyBorder="1" applyAlignment="1" applyProtection="1">
      <alignment horizontal="left" vertical="top" shrinkToFit="1"/>
      <protection/>
    </xf>
    <xf numFmtId="0" fontId="0" fillId="0" borderId="113" xfId="0" applyFont="1" applyBorder="1" applyAlignment="1" applyProtection="1">
      <alignment horizontal="left" vertical="top" shrinkToFit="1"/>
      <protection/>
    </xf>
    <xf numFmtId="0" fontId="0" fillId="0" borderId="15" xfId="0" applyNumberFormat="1" applyFont="1" applyBorder="1" applyAlignment="1" applyProtection="1">
      <alignment horizontal="center" vertical="top" shrinkToFit="1"/>
      <protection/>
    </xf>
    <xf numFmtId="0" fontId="0" fillId="0" borderId="87" xfId="0" applyNumberFormat="1" applyFont="1" applyBorder="1" applyAlignment="1" applyProtection="1">
      <alignment horizontal="center" vertical="top" shrinkToFit="1"/>
      <protection/>
    </xf>
    <xf numFmtId="0" fontId="0" fillId="0" borderId="15" xfId="0" applyNumberFormat="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xf>
    <xf numFmtId="0" fontId="0" fillId="0" borderId="15" xfId="0" applyNumberFormat="1" applyFont="1" applyFill="1" applyBorder="1" applyAlignment="1" applyProtection="1">
      <alignment horizontal="center" vertical="top" shrinkToFit="1"/>
      <protection locked="0"/>
    </xf>
    <xf numFmtId="0" fontId="0" fillId="0" borderId="102" xfId="0" applyFont="1" applyBorder="1" applyAlignment="1" applyProtection="1">
      <alignment horizontal="left" vertical="top" shrinkToFit="1"/>
      <protection/>
    </xf>
    <xf numFmtId="0" fontId="0" fillId="0" borderId="103" xfId="0" applyFont="1" applyBorder="1" applyAlignment="1" applyProtection="1">
      <alignment horizontal="left" vertical="top" shrinkToFit="1"/>
      <protection/>
    </xf>
    <xf numFmtId="0" fontId="0" fillId="0" borderId="104" xfId="0" applyFont="1" applyBorder="1" applyAlignment="1" applyProtection="1">
      <alignment horizontal="left" vertical="top" shrinkToFit="1"/>
      <protection/>
    </xf>
    <xf numFmtId="0" fontId="0" fillId="0" borderId="29" xfId="0" applyFont="1" applyBorder="1" applyAlignment="1" applyProtection="1">
      <alignment horizontal="left" vertical="top" shrinkToFit="1"/>
      <protection/>
    </xf>
    <xf numFmtId="0" fontId="0" fillId="0" borderId="20" xfId="0" applyFont="1" applyBorder="1" applyAlignment="1" applyProtection="1">
      <alignment horizontal="left" vertical="top" shrinkToFit="1"/>
      <protection/>
    </xf>
    <xf numFmtId="0" fontId="0" fillId="0" borderId="50" xfId="0" applyFont="1" applyBorder="1" applyAlignment="1" applyProtection="1">
      <alignment horizontal="left" vertical="top" shrinkToFit="1"/>
      <protection/>
    </xf>
    <xf numFmtId="0" fontId="0" fillId="0" borderId="0" xfId="0" applyFont="1" applyBorder="1" applyAlignment="1">
      <alignment horizontal="center" wrapText="1"/>
    </xf>
    <xf numFmtId="0" fontId="0" fillId="0" borderId="0" xfId="0" applyFont="1" applyFill="1" applyBorder="1" applyAlignment="1">
      <alignment horizontal="center" vertical="center" shrinkToFit="1"/>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pplyProtection="1">
      <alignment horizontal="center" vertical="top" shrinkToFit="1"/>
      <protection/>
    </xf>
    <xf numFmtId="0" fontId="0" fillId="0" borderId="115" xfId="0" applyFont="1" applyBorder="1" applyAlignment="1">
      <alignment horizontal="center" vertical="center" wrapText="1"/>
    </xf>
    <xf numFmtId="0" fontId="0" fillId="0" borderId="109" xfId="0" applyFont="1" applyBorder="1" applyAlignment="1">
      <alignment horizontal="center" vertical="center" shrinkToFit="1"/>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64" fillId="0" borderId="0" xfId="0" applyFont="1" applyBorder="1" applyAlignment="1" applyProtection="1">
      <alignment horizontal="center" vertical="center" shrinkToFit="1"/>
      <protection/>
    </xf>
    <xf numFmtId="0" fontId="0" fillId="0" borderId="11" xfId="0" applyNumberFormat="1" applyFont="1" applyBorder="1" applyAlignment="1" applyProtection="1">
      <alignment horizontal="center" shrinkToFit="1"/>
      <protection/>
    </xf>
    <xf numFmtId="0" fontId="8" fillId="0" borderId="15" xfId="53" applyFont="1" applyBorder="1" applyAlignment="1">
      <alignment horizontal="center" vertical="top" wrapText="1"/>
      <protection/>
    </xf>
    <xf numFmtId="0" fontId="31" fillId="0" borderId="0" xfId="53" applyFont="1" applyAlignment="1">
      <alignment horizontal="left" vertical="center" wrapText="1"/>
      <protection/>
    </xf>
    <xf numFmtId="0" fontId="8" fillId="0" borderId="31"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26" fillId="0" borderId="0" xfId="53" applyFont="1" applyBorder="1" applyAlignment="1">
      <alignment horizontal="left"/>
      <protection/>
    </xf>
    <xf numFmtId="0" fontId="0" fillId="0" borderId="12" xfId="53" applyFont="1" applyBorder="1" applyAlignment="1">
      <alignment horizontal="center" vertical="center" shrinkToFit="1"/>
      <protection/>
    </xf>
    <xf numFmtId="0" fontId="0" fillId="0" borderId="118" xfId="53" applyFont="1" applyFill="1" applyBorder="1" applyAlignment="1">
      <alignment horizontal="center" vertical="center"/>
      <protection/>
    </xf>
    <xf numFmtId="0" fontId="0" fillId="0" borderId="119" xfId="53" applyFont="1" applyFill="1" applyBorder="1" applyAlignment="1">
      <alignment horizontal="center" vertical="center"/>
      <protection/>
    </xf>
    <xf numFmtId="0" fontId="0" fillId="0" borderId="116" xfId="53" applyFont="1" applyFill="1" applyBorder="1" applyAlignment="1" applyProtection="1">
      <alignment horizontal="left"/>
      <protection locked="0"/>
    </xf>
    <xf numFmtId="0" fontId="0" fillId="0" borderId="117" xfId="53" applyFont="1" applyFill="1" applyBorder="1" applyAlignment="1" applyProtection="1">
      <alignment horizontal="left"/>
      <protection locked="0"/>
    </xf>
    <xf numFmtId="0" fontId="0" fillId="0" borderId="51" xfId="53" applyFont="1" applyFill="1" applyBorder="1" applyAlignment="1" applyProtection="1">
      <alignment horizontal="center" vertical="center" shrinkToFit="1"/>
      <protection locked="0"/>
    </xf>
    <xf numFmtId="0" fontId="0" fillId="0" borderId="91" xfId="53" applyFont="1" applyFill="1" applyBorder="1" applyAlignment="1" applyProtection="1">
      <alignment horizontal="center" vertical="center" shrinkToFit="1"/>
      <protection locked="0"/>
    </xf>
    <xf numFmtId="0" fontId="0" fillId="0" borderId="120" xfId="53" applyFont="1" applyFill="1" applyBorder="1" applyAlignment="1" applyProtection="1">
      <alignment horizontal="left"/>
      <protection locked="0"/>
    </xf>
    <xf numFmtId="0" fontId="0" fillId="0" borderId="121" xfId="53" applyFont="1" applyFill="1" applyBorder="1" applyAlignment="1" applyProtection="1">
      <alignment horizontal="left"/>
      <protection locked="0"/>
    </xf>
    <xf numFmtId="0" fontId="0" fillId="0" borderId="0" xfId="53" applyBorder="1" applyAlignment="1">
      <alignment horizontal="center" shrinkToFit="1"/>
      <protection/>
    </xf>
    <xf numFmtId="0" fontId="8" fillId="0" borderId="122" xfId="53" applyFont="1" applyBorder="1" applyAlignment="1">
      <alignment horizontal="center" vertical="center" wrapText="1"/>
      <protection/>
    </xf>
    <xf numFmtId="0" fontId="8" fillId="0" borderId="123"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8" fillId="0" borderId="15" xfId="53" applyFont="1" applyBorder="1" applyAlignment="1">
      <alignment horizontal="center" vertical="top"/>
      <protection/>
    </xf>
    <xf numFmtId="0" fontId="26" fillId="0" borderId="12" xfId="53" applyFont="1" applyBorder="1" applyAlignment="1">
      <alignment horizontal="center" shrinkToFit="1"/>
      <protection/>
    </xf>
    <xf numFmtId="0" fontId="0" fillId="0" borderId="0" xfId="53" applyFont="1" applyAlignment="1">
      <alignment horizontal="center" vertical="center"/>
      <protection/>
    </xf>
    <xf numFmtId="0" fontId="8" fillId="0" borderId="19" xfId="53" applyFont="1" applyBorder="1" applyAlignment="1">
      <alignment horizontal="center" vertical="center" wrapText="1"/>
      <protection/>
    </xf>
    <xf numFmtId="0" fontId="8" fillId="0" borderId="11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0" fillId="0" borderId="0" xfId="0" applyFont="1" applyAlignment="1">
      <alignment horizontal="center" vertical="center" wrapText="1"/>
    </xf>
    <xf numFmtId="0" fontId="0" fillId="0" borderId="0" xfId="0" applyBorder="1" applyAlignment="1">
      <alignment horizontal="center" vertical="center" wrapText="1"/>
    </xf>
    <xf numFmtId="0" fontId="6" fillId="0" borderId="12" xfId="0" applyFont="1" applyBorder="1" applyAlignment="1">
      <alignment horizontal="center" vertical="center" wrapText="1"/>
    </xf>
    <xf numFmtId="0" fontId="31" fillId="0" borderId="88" xfId="0" applyFont="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Листы записи  РТТ" xfId="55"/>
    <cellStyle name="Обычный_юноши рейтин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14">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bgColor indexed="10"/>
        </patternFill>
      </fill>
    </dxf>
    <dxf>
      <fill>
        <patternFill>
          <bgColor indexed="55"/>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bgColor indexed="17"/>
        </patternFill>
      </fill>
    </dxf>
    <dxf>
      <fill>
        <patternFill>
          <bgColor indexed="55"/>
        </patternFill>
      </fill>
    </dxf>
    <dxf>
      <fill>
        <patternFill>
          <bgColor indexed="43"/>
        </patternFill>
      </fill>
    </dxf>
    <dxf>
      <fill>
        <patternFill>
          <bgColor indexed="42"/>
        </patternFill>
      </fill>
    </dxf>
    <dxf>
      <fill>
        <patternFill>
          <bgColor indexed="55"/>
        </patternFill>
      </fill>
    </dxf>
    <dxf>
      <fill>
        <patternFill>
          <bgColor indexed="43"/>
        </patternFill>
      </fill>
    </dxf>
    <dxf>
      <fill>
        <patternFill>
          <bgColor indexed="42"/>
        </patternFill>
      </fill>
    </dxf>
    <dxf>
      <font>
        <color indexed="13"/>
      </font>
      <fill>
        <patternFill>
          <bgColor indexed="17"/>
        </patternFill>
      </fill>
    </dxf>
    <dxf>
      <font>
        <color indexed="10"/>
      </font>
      <fill>
        <patternFill>
          <bgColor indexed="1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color rgb="FFFF0000"/>
      </font>
      <fill>
        <patternFill>
          <bgColor rgb="FFFFFF00"/>
        </patternFill>
      </fill>
      <border/>
    </dxf>
    <dxf>
      <font>
        <color rgb="FFFFFF00"/>
      </font>
      <fill>
        <patternFill>
          <bgColor rgb="FF008000"/>
        </patternFill>
      </fill>
      <border/>
    </dxf>
    <dxf>
      <font>
        <color rgb="FFFFFFFF"/>
      </font>
      <fill>
        <patternFill>
          <bgColor rgb="FF008000"/>
        </patternFill>
      </fill>
      <border/>
    </dxf>
    <dxf>
      <font>
        <color rgb="FFFFFFFF"/>
      </font>
      <fill>
        <patternFill>
          <bgColor rgb="FFFF0000"/>
        </patternFill>
      </fill>
      <border/>
    </dxf>
    <dxf>
      <font>
        <b/>
        <i val="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247650</xdr:colOff>
      <xdr:row>0</xdr:row>
      <xdr:rowOff>57150</xdr:rowOff>
    </xdr:from>
    <xdr:to>
      <xdr:col>6</xdr:col>
      <xdr:colOff>619125</xdr:colOff>
      <xdr:row>0</xdr:row>
      <xdr:rowOff>428625</xdr:rowOff>
    </xdr:to>
    <xdr:pic>
      <xdr:nvPicPr>
        <xdr:cNvPr id="2" name="Picture 8" descr="RTT">
          <a:hlinkClick r:id="rId6"/>
        </xdr:cNvPr>
        <xdr:cNvPicPr preferRelativeResize="1">
          <a:picLocks noChangeAspect="1"/>
        </xdr:cNvPicPr>
      </xdr:nvPicPr>
      <xdr:blipFill>
        <a:blip r:embed="rId4"/>
        <a:stretch>
          <a:fillRect/>
        </a:stretch>
      </xdr:blipFill>
      <xdr:spPr>
        <a:xfrm>
          <a:off x="5543550" y="57150"/>
          <a:ext cx="1057275" cy="371475"/>
        </a:xfrm>
        <a:prstGeom prst="rect">
          <a:avLst/>
        </a:prstGeom>
        <a:noFill/>
        <a:ln w="9525" cmpd="sng">
          <a:noFill/>
        </a:ln>
      </xdr:spPr>
    </xdr:pic>
    <xdr:clientData/>
  </xdr:twoCellAnchor>
  <xdr:twoCellAnchor>
    <xdr:from>
      <xdr:col>4</xdr:col>
      <xdr:colOff>9525</xdr:colOff>
      <xdr:row>8</xdr:row>
      <xdr:rowOff>0</xdr:rowOff>
    </xdr:from>
    <xdr:to>
      <xdr:col>7</xdr:col>
      <xdr:colOff>571500</xdr:colOff>
      <xdr:row>10</xdr:row>
      <xdr:rowOff>47625</xdr:rowOff>
    </xdr:to>
    <xdr:grpSp>
      <xdr:nvGrpSpPr>
        <xdr:cNvPr id="3" name="Group 48"/>
        <xdr:cNvGrpSpPr>
          <a:grpSpLocks/>
        </xdr:cNvGrpSpPr>
      </xdr:nvGrpSpPr>
      <xdr:grpSpPr>
        <a:xfrm>
          <a:off x="4619625" y="2171700"/>
          <a:ext cx="2619375" cy="485775"/>
          <a:chOff x="425" y="228"/>
          <a:chExt cx="244" cy="5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5"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6"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9"/>
        <xdr:cNvGrpSpPr>
          <a:grpSpLocks/>
        </xdr:cNvGrpSpPr>
      </xdr:nvGrpSpPr>
      <xdr:grpSpPr>
        <a:xfrm>
          <a:off x="10944225" y="152400"/>
          <a:ext cx="2428875" cy="1638300"/>
          <a:chOff x="425" y="68"/>
          <a:chExt cx="244" cy="15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524750" y="9525"/>
          <a:ext cx="1581150" cy="542925"/>
        </a:xfrm>
        <a:prstGeom prst="rect">
          <a:avLst/>
        </a:prstGeom>
        <a:noFill/>
        <a:ln w="9525" cmpd="sng">
          <a:noFill/>
        </a:ln>
      </xdr:spPr>
    </xdr:pic>
    <xdr:clientData/>
  </xdr:twoCellAnchor>
  <xdr:twoCellAnchor>
    <xdr:from>
      <xdr:col>20</xdr:col>
      <xdr:colOff>19050</xdr:colOff>
      <xdr:row>0</xdr:row>
      <xdr:rowOff>152400</xdr:rowOff>
    </xdr:from>
    <xdr:to>
      <xdr:col>23</xdr:col>
      <xdr:colOff>371475</xdr:colOff>
      <xdr:row>10</xdr:row>
      <xdr:rowOff>38100</xdr:rowOff>
    </xdr:to>
    <xdr:grpSp>
      <xdr:nvGrpSpPr>
        <xdr:cNvPr id="3" name="Group 22"/>
        <xdr:cNvGrpSpPr>
          <a:grpSpLocks/>
        </xdr:cNvGrpSpPr>
      </xdr:nvGrpSpPr>
      <xdr:grpSpPr>
        <a:xfrm>
          <a:off x="11420475" y="152400"/>
          <a:ext cx="2438400" cy="1638300"/>
          <a:chOff x="425" y="68"/>
          <a:chExt cx="244" cy="15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twoCellAnchor>
    <xdr:from>
      <xdr:col>8</xdr:col>
      <xdr:colOff>9525</xdr:colOff>
      <xdr:row>0</xdr:row>
      <xdr:rowOff>114300</xdr:rowOff>
    </xdr:from>
    <xdr:to>
      <xdr:col>11</xdr:col>
      <xdr:colOff>361950</xdr:colOff>
      <xdr:row>10</xdr:row>
      <xdr:rowOff>409575</xdr:rowOff>
    </xdr:to>
    <xdr:grpSp>
      <xdr:nvGrpSpPr>
        <xdr:cNvPr id="3" name="Group 5"/>
        <xdr:cNvGrpSpPr>
          <a:grpSpLocks/>
        </xdr:cNvGrpSpPr>
      </xdr:nvGrpSpPr>
      <xdr:grpSpPr>
        <a:xfrm>
          <a:off x="7877175" y="114300"/>
          <a:ext cx="2438400" cy="1600200"/>
          <a:chOff x="425" y="68"/>
          <a:chExt cx="244" cy="153"/>
        </a:xfrm>
        <a:solidFill>
          <a:srgbClr val="FFFFFF"/>
        </a:solidFill>
      </xdr:grpSpPr>
    </xdr:grpSp>
    <xdr:clientData/>
  </xdr:twoCellAnchor>
  <xdr:twoCellAnchor>
    <xdr:from>
      <xdr:col>11</xdr:col>
      <xdr:colOff>352425</xdr:colOff>
      <xdr:row>0</xdr:row>
      <xdr:rowOff>114300</xdr:rowOff>
    </xdr:from>
    <xdr:to>
      <xdr:col>15</xdr:col>
      <xdr:colOff>0</xdr:colOff>
      <xdr:row>4</xdr:row>
      <xdr:rowOff>114300</xdr:rowOff>
    </xdr:to>
    <xdr:grpSp>
      <xdr:nvGrpSpPr>
        <xdr:cNvPr id="10" name="Group 12"/>
        <xdr:cNvGrpSpPr>
          <a:grpSpLocks/>
        </xdr:cNvGrpSpPr>
      </xdr:nvGrpSpPr>
      <xdr:grpSpPr>
        <a:xfrm>
          <a:off x="10306050" y="114300"/>
          <a:ext cx="2428875" cy="485775"/>
          <a:chOff x="1615" y="7"/>
          <a:chExt cx="224" cy="51"/>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1"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2"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12</xdr:col>
      <xdr:colOff>247650</xdr:colOff>
      <xdr:row>0</xdr:row>
      <xdr:rowOff>371475</xdr:rowOff>
    </xdr:to>
    <xdr:pic>
      <xdr:nvPicPr>
        <xdr:cNvPr id="1" name="Picture 1" descr="RTT">
          <a:hlinkClick r:id="rId3"/>
        </xdr:cNvPr>
        <xdr:cNvPicPr preferRelativeResize="1">
          <a:picLocks noChangeAspect="1"/>
        </xdr:cNvPicPr>
      </xdr:nvPicPr>
      <xdr:blipFill>
        <a:blip r:embed="rId1"/>
        <a:stretch>
          <a:fillRect/>
        </a:stretch>
      </xdr:blipFill>
      <xdr:spPr>
        <a:xfrm>
          <a:off x="124682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1</xdr:row>
      <xdr:rowOff>28575</xdr:rowOff>
    </xdr:to>
    <xdr:pic>
      <xdr:nvPicPr>
        <xdr:cNvPr id="2" name="Picture 3" descr="FTR">
          <a:hlinkClick r:id="rId6"/>
        </xdr:cNvPr>
        <xdr:cNvPicPr preferRelativeResize="1">
          <a:picLocks noChangeAspect="1"/>
        </xdr:cNvPicPr>
      </xdr:nvPicPr>
      <xdr:blipFill>
        <a:blip r:embed="rId4"/>
        <a:stretch>
          <a:fillRect/>
        </a:stretch>
      </xdr:blipFill>
      <xdr:spPr>
        <a:xfrm>
          <a:off x="0" y="0"/>
          <a:ext cx="695325" cy="533400"/>
        </a:xfrm>
        <a:prstGeom prst="rect">
          <a:avLst/>
        </a:prstGeom>
        <a:noFill/>
        <a:ln w="9525" cmpd="sng">
          <a:noFill/>
        </a:ln>
      </xdr:spPr>
    </xdr:pic>
    <xdr:clientData/>
  </xdr:twoCellAnchor>
  <xdr:twoCellAnchor>
    <xdr:from>
      <xdr:col>53</xdr:col>
      <xdr:colOff>0</xdr:colOff>
      <xdr:row>7</xdr:row>
      <xdr:rowOff>0</xdr:rowOff>
    </xdr:from>
    <xdr:to>
      <xdr:col>56</xdr:col>
      <xdr:colOff>428625</xdr:colOff>
      <xdr:row>7</xdr:row>
      <xdr:rowOff>561975</xdr:rowOff>
    </xdr:to>
    <xdr:grpSp>
      <xdr:nvGrpSpPr>
        <xdr:cNvPr id="3" name="Group 66"/>
        <xdr:cNvGrpSpPr>
          <a:grpSpLocks/>
        </xdr:cNvGrpSpPr>
      </xdr:nvGrpSpPr>
      <xdr:grpSpPr>
        <a:xfrm>
          <a:off x="16992600" y="1914525"/>
          <a:ext cx="2486025" cy="561975"/>
          <a:chOff x="1565" y="196"/>
          <a:chExt cx="218" cy="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876300</xdr:colOff>
      <xdr:row>0</xdr:row>
      <xdr:rowOff>76200</xdr:rowOff>
    </xdr:from>
    <xdr:to>
      <xdr:col>53</xdr:col>
      <xdr:colOff>0</xdr:colOff>
      <xdr:row>10</xdr:row>
      <xdr:rowOff>0</xdr:rowOff>
    </xdr:to>
    <xdr:grpSp>
      <xdr:nvGrpSpPr>
        <xdr:cNvPr id="1" name="Group 41"/>
        <xdr:cNvGrpSpPr>
          <a:grpSpLocks/>
        </xdr:cNvGrpSpPr>
      </xdr:nvGrpSpPr>
      <xdr:grpSpPr>
        <a:xfrm>
          <a:off x="17745075" y="76200"/>
          <a:ext cx="2438400" cy="1714500"/>
          <a:chOff x="1615" y="7"/>
          <a:chExt cx="224" cy="51"/>
        </a:xfrm>
        <a:solidFill>
          <a:srgbClr val="FFFFFF"/>
        </a:solidFill>
      </xdr:grpSpPr>
    </xdr:grpSp>
    <xdr:clientData/>
  </xdr:twoCellAnchor>
  <xdr:twoCellAnchor>
    <xdr:from>
      <xdr:col>14</xdr:col>
      <xdr:colOff>1047750</xdr:colOff>
      <xdr:row>0</xdr:row>
      <xdr:rowOff>76200</xdr:rowOff>
    </xdr:from>
    <xdr:to>
      <xdr:col>17</xdr:col>
      <xdr:colOff>876300</xdr:colOff>
      <xdr:row>10</xdr:row>
      <xdr:rowOff>0</xdr:rowOff>
    </xdr:to>
    <xdr:grpSp>
      <xdr:nvGrpSpPr>
        <xdr:cNvPr id="4" name="Group 42"/>
        <xdr:cNvGrpSpPr>
          <a:grpSpLocks/>
        </xdr:cNvGrpSpPr>
      </xdr:nvGrpSpPr>
      <xdr:grpSpPr>
        <a:xfrm>
          <a:off x="15297150" y="76200"/>
          <a:ext cx="2447925" cy="1714500"/>
          <a:chOff x="1403" y="8"/>
          <a:chExt cx="224" cy="18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38100</xdr:rowOff>
    </xdr:from>
    <xdr:to>
      <xdr:col>9</xdr:col>
      <xdr:colOff>914400</xdr:colOff>
      <xdr:row>2</xdr:row>
      <xdr:rowOff>142875</xdr:rowOff>
    </xdr:to>
    <xdr:pic>
      <xdr:nvPicPr>
        <xdr:cNvPr id="1" name="Picture 1" descr="RTT"/>
        <xdr:cNvPicPr preferRelativeResize="1">
          <a:picLocks noChangeAspect="1"/>
        </xdr:cNvPicPr>
      </xdr:nvPicPr>
      <xdr:blipFill>
        <a:blip r:embed="rId1"/>
        <a:stretch>
          <a:fillRect/>
        </a:stretch>
      </xdr:blipFill>
      <xdr:spPr>
        <a:xfrm>
          <a:off x="10915650" y="38100"/>
          <a:ext cx="12287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619125</xdr:colOff>
      <xdr:row>3</xdr:row>
      <xdr:rowOff>209550</xdr:rowOff>
    </xdr:to>
    <xdr:pic>
      <xdr:nvPicPr>
        <xdr:cNvPr id="2" name="Picture 2" descr="ФТР"/>
        <xdr:cNvPicPr preferRelativeResize="1">
          <a:picLocks noChangeAspect="1"/>
        </xdr:cNvPicPr>
      </xdr:nvPicPr>
      <xdr:blipFill>
        <a:blip r:embed="rId2"/>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838200</xdr:colOff>
      <xdr:row>0</xdr:row>
      <xdr:rowOff>85725</xdr:rowOff>
    </xdr:from>
    <xdr:to>
      <xdr:col>20</xdr:col>
      <xdr:colOff>790575</xdr:colOff>
      <xdr:row>10</xdr:row>
      <xdr:rowOff>28575</xdr:rowOff>
    </xdr:to>
    <xdr:grpSp>
      <xdr:nvGrpSpPr>
        <xdr:cNvPr id="1" name="Group 43"/>
        <xdr:cNvGrpSpPr>
          <a:grpSpLocks/>
        </xdr:cNvGrpSpPr>
      </xdr:nvGrpSpPr>
      <xdr:grpSpPr>
        <a:xfrm>
          <a:off x="17716500" y="85725"/>
          <a:ext cx="2447925" cy="1733550"/>
          <a:chOff x="1615" y="7"/>
          <a:chExt cx="224" cy="51"/>
        </a:xfrm>
        <a:solidFill>
          <a:srgbClr val="FFFFFF"/>
        </a:solidFill>
      </xdr:grpSpPr>
    </xdr:grpSp>
    <xdr:clientData/>
  </xdr:twoCellAnchor>
  <xdr:twoCellAnchor>
    <xdr:from>
      <xdr:col>14</xdr:col>
      <xdr:colOff>1028700</xdr:colOff>
      <xdr:row>0</xdr:row>
      <xdr:rowOff>85725</xdr:rowOff>
    </xdr:from>
    <xdr:to>
      <xdr:col>17</xdr:col>
      <xdr:colOff>847725</xdr:colOff>
      <xdr:row>10</xdr:row>
      <xdr:rowOff>28575</xdr:rowOff>
    </xdr:to>
    <xdr:grpSp>
      <xdr:nvGrpSpPr>
        <xdr:cNvPr id="4" name="Group 46"/>
        <xdr:cNvGrpSpPr>
          <a:grpSpLocks/>
        </xdr:cNvGrpSpPr>
      </xdr:nvGrpSpPr>
      <xdr:grpSpPr>
        <a:xfrm>
          <a:off x="15287625" y="85725"/>
          <a:ext cx="2438400" cy="1733550"/>
          <a:chOff x="1403" y="8"/>
          <a:chExt cx="224" cy="18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1</xdr:row>
      <xdr:rowOff>104775</xdr:rowOff>
    </xdr:from>
    <xdr:to>
      <xdr:col>12</xdr:col>
      <xdr:colOff>609600</xdr:colOff>
      <xdr:row>3</xdr:row>
      <xdr:rowOff>180975</xdr:rowOff>
    </xdr:to>
    <xdr:pic>
      <xdr:nvPicPr>
        <xdr:cNvPr id="1" name="Picture 227" descr="RTT">
          <a:hlinkClick r:id="rId3"/>
        </xdr:cNvPr>
        <xdr:cNvPicPr preferRelativeResize="1">
          <a:picLocks noChangeAspect="1"/>
        </xdr:cNvPicPr>
      </xdr:nvPicPr>
      <xdr:blipFill>
        <a:blip r:embed="rId1"/>
        <a:stretch>
          <a:fillRect/>
        </a:stretch>
      </xdr:blipFill>
      <xdr:spPr>
        <a:xfrm>
          <a:off x="11125200" y="266700"/>
          <a:ext cx="138112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419100</xdr:colOff>
      <xdr:row>2</xdr:row>
      <xdr:rowOff>190500</xdr:rowOff>
    </xdr:to>
    <xdr:pic>
      <xdr:nvPicPr>
        <xdr:cNvPr id="2" name="Picture 82" descr="FTR">
          <a:hlinkClick r:id="rId6"/>
        </xdr:cNvPr>
        <xdr:cNvPicPr preferRelativeResize="1">
          <a:picLocks noChangeAspect="1"/>
        </xdr:cNvPicPr>
      </xdr:nvPicPr>
      <xdr:blipFill>
        <a:blip r:embed="rId4"/>
        <a:stretch>
          <a:fillRect/>
        </a:stretch>
      </xdr:blipFill>
      <xdr:spPr>
        <a:xfrm>
          <a:off x="0" y="0"/>
          <a:ext cx="723900" cy="552450"/>
        </a:xfrm>
        <a:prstGeom prst="rect">
          <a:avLst/>
        </a:prstGeom>
        <a:noFill/>
        <a:ln w="9525" cmpd="sng">
          <a:noFill/>
        </a:ln>
      </xdr:spPr>
    </xdr:pic>
    <xdr:clientData/>
  </xdr:twoCellAnchor>
  <xdr:twoCellAnchor>
    <xdr:from>
      <xdr:col>47</xdr:col>
      <xdr:colOff>85725</xdr:colOff>
      <xdr:row>4</xdr:row>
      <xdr:rowOff>476250</xdr:rowOff>
    </xdr:from>
    <xdr:to>
      <xdr:col>50</xdr:col>
      <xdr:colOff>438150</xdr:colOff>
      <xdr:row>5</xdr:row>
      <xdr:rowOff>9525</xdr:rowOff>
    </xdr:to>
    <xdr:grpSp>
      <xdr:nvGrpSpPr>
        <xdr:cNvPr id="3" name="Group 246"/>
        <xdr:cNvGrpSpPr>
          <a:grpSpLocks/>
        </xdr:cNvGrpSpPr>
      </xdr:nvGrpSpPr>
      <xdr:grpSpPr>
        <a:xfrm>
          <a:off x="12792075" y="1590675"/>
          <a:ext cx="2438400" cy="523875"/>
          <a:chOff x="1190" y="156"/>
          <a:chExt cx="224" cy="47"/>
        </a:xfrm>
        <a:solidFill>
          <a:srgbClr val="FFFFFF"/>
        </a:solidFill>
      </xdr:grpSpPr>
    </xdr:grpSp>
    <xdr:clientData/>
  </xdr:twoCellAnchor>
  <xdr:twoCellAnchor>
    <xdr:from>
      <xdr:col>47</xdr:col>
      <xdr:colOff>85725</xdr:colOff>
      <xdr:row>0</xdr:row>
      <xdr:rowOff>104775</xdr:rowOff>
    </xdr:from>
    <xdr:to>
      <xdr:col>50</xdr:col>
      <xdr:colOff>438150</xdr:colOff>
      <xdr:row>4</xdr:row>
      <xdr:rowOff>400050</xdr:rowOff>
    </xdr:to>
    <xdr:grpSp>
      <xdr:nvGrpSpPr>
        <xdr:cNvPr id="6" name="Group 245"/>
        <xdr:cNvGrpSpPr>
          <a:grpSpLocks/>
        </xdr:cNvGrpSpPr>
      </xdr:nvGrpSpPr>
      <xdr:grpSpPr>
        <a:xfrm>
          <a:off x="12792075" y="104775"/>
          <a:ext cx="2438400" cy="1409700"/>
          <a:chOff x="1190" y="9"/>
          <a:chExt cx="224" cy="141"/>
        </a:xfrm>
        <a:solidFill>
          <a:srgbClr val="FFFFFF"/>
        </a:solidFill>
      </xdr:grpSpPr>
    </xdr:grpSp>
    <xdr:clientData/>
  </xdr:twoCellAnchor>
  <xdr:twoCellAnchor>
    <xdr:from>
      <xdr:col>7</xdr:col>
      <xdr:colOff>2543175</xdr:colOff>
      <xdr:row>0</xdr:row>
      <xdr:rowOff>47625</xdr:rowOff>
    </xdr:from>
    <xdr:to>
      <xdr:col>11</xdr:col>
      <xdr:colOff>457200</xdr:colOff>
      <xdr:row>3</xdr:row>
      <xdr:rowOff>504825</xdr:rowOff>
    </xdr:to>
    <xdr:grpSp>
      <xdr:nvGrpSpPr>
        <xdr:cNvPr id="13" name="Group 253"/>
        <xdr:cNvGrpSpPr>
          <a:grpSpLocks/>
        </xdr:cNvGrpSpPr>
      </xdr:nvGrpSpPr>
      <xdr:grpSpPr>
        <a:xfrm>
          <a:off x="8677275" y="47625"/>
          <a:ext cx="2381250" cy="1019175"/>
          <a:chOff x="796" y="5"/>
          <a:chExt cx="219" cy="107"/>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31"/>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4"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5"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9"/>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39"/>
        <xdr:cNvGrpSpPr>
          <a:grpSpLocks/>
        </xdr:cNvGrpSpPr>
      </xdr:nvGrpSpPr>
      <xdr:grpSpPr>
        <a:xfrm>
          <a:off x="10944225" y="152400"/>
          <a:ext cx="2428875" cy="1638300"/>
          <a:chOff x="425" y="68"/>
          <a:chExt cx="244" cy="1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66"/>
  <sheetViews>
    <sheetView showGridLines="0" showRowColHeaders="0" zoomScale="140" zoomScaleNormal="140" zoomScalePageLayoutView="0" workbookViewId="0" topLeftCell="A1">
      <pane xSplit="8" ySplit="15" topLeftCell="I68" activePane="bottomRight" state="frozen"/>
      <selection pane="topLeft" activeCell="A1" sqref="A1"/>
      <selection pane="topRight" activeCell="I1" sqref="I1"/>
      <selection pane="bottomLeft" activeCell="A16" sqref="A16"/>
      <selection pane="bottomRight" activeCell="C6" sqref="C6"/>
    </sheetView>
  </sheetViews>
  <sheetFormatPr defaultColWidth="9.00390625" defaultRowHeight="19.5" customHeight="1"/>
  <cols>
    <col min="1" max="1" width="2.125" style="271" customWidth="1"/>
    <col min="2" max="2" width="21.25390625" style="0" customWidth="1"/>
    <col min="3" max="3" width="32.375" style="0" customWidth="1"/>
    <col min="4" max="4" width="4.75390625" style="0" customWidth="1"/>
  </cols>
  <sheetData>
    <row r="1" spans="1:8" s="252" customFormat="1" ht="50.25" customHeight="1">
      <c r="A1" s="259"/>
      <c r="B1" s="589"/>
      <c r="C1" s="260" t="s">
        <v>168</v>
      </c>
      <c r="D1" s="589"/>
      <c r="E1" s="589"/>
      <c r="F1" s="589"/>
      <c r="G1" s="589"/>
      <c r="H1" s="589"/>
    </row>
    <row r="2" spans="1:4" s="250" customFormat="1" ht="17.25" customHeight="1">
      <c r="A2" s="260"/>
      <c r="B2" s="261"/>
      <c r="C2" s="261"/>
      <c r="D2" s="261"/>
    </row>
    <row r="3" spans="1:4" s="250" customFormat="1" ht="17.25" customHeight="1">
      <c r="A3" s="262"/>
      <c r="B3" s="263" t="s">
        <v>43</v>
      </c>
      <c r="C3" s="264" t="s">
        <v>174</v>
      </c>
      <c r="D3" s="265"/>
    </row>
    <row r="4" spans="1:4" s="250" customFormat="1" ht="17.25" customHeight="1">
      <c r="A4" s="262"/>
      <c r="B4" s="266" t="s">
        <v>44</v>
      </c>
      <c r="C4" s="267" t="str">
        <f>IF(A26=0,"",INDEX(B26:B32,A26))</f>
        <v>до 13 лет</v>
      </c>
      <c r="D4" s="268"/>
    </row>
    <row r="5" spans="1:4" s="250" customFormat="1" ht="17.25" customHeight="1">
      <c r="A5" s="262"/>
      <c r="B5" s="263" t="s">
        <v>45</v>
      </c>
      <c r="C5" s="267" t="str">
        <f>IF(A34=0,"",INDEX(C34:C36,A34))</f>
        <v>Девушки</v>
      </c>
      <c r="D5" s="265"/>
    </row>
    <row r="6" spans="1:4" s="250" customFormat="1" ht="17.25" customHeight="1">
      <c r="A6" s="262"/>
      <c r="B6" s="266" t="s">
        <v>31</v>
      </c>
      <c r="C6" s="264" t="s">
        <v>175</v>
      </c>
      <c r="D6" s="268"/>
    </row>
    <row r="7" spans="1:4" s="250" customFormat="1" ht="17.25" customHeight="1">
      <c r="A7" s="262"/>
      <c r="B7" s="263" t="s">
        <v>32</v>
      </c>
      <c r="C7" s="269" t="s">
        <v>176</v>
      </c>
      <c r="D7" s="265"/>
    </row>
    <row r="8" spans="1:4" s="250" customFormat="1" ht="17.25" customHeight="1">
      <c r="A8" s="262"/>
      <c r="B8" s="266" t="s">
        <v>33</v>
      </c>
      <c r="C8" s="267" t="str">
        <f>CONCATENATE(C37,C46)</f>
        <v>IIIВ</v>
      </c>
      <c r="D8" s="268"/>
    </row>
    <row r="9" spans="1:4" s="250" customFormat="1" ht="17.25" customHeight="1">
      <c r="A9" s="262"/>
      <c r="B9" s="263" t="s">
        <v>46</v>
      </c>
      <c r="C9" s="269">
        <v>42240</v>
      </c>
      <c r="D9" s="265"/>
    </row>
    <row r="10" spans="1:4" s="250" customFormat="1" ht="17.25" customHeight="1">
      <c r="A10" s="262"/>
      <c r="B10" s="266" t="s">
        <v>47</v>
      </c>
      <c r="C10" s="269">
        <v>42248</v>
      </c>
      <c r="D10" s="268"/>
    </row>
    <row r="11" spans="1:4" s="250" customFormat="1" ht="17.25" customHeight="1">
      <c r="A11" s="262"/>
      <c r="B11" s="263" t="s">
        <v>48</v>
      </c>
      <c r="C11" s="264" t="s">
        <v>177</v>
      </c>
      <c r="D11" s="265"/>
    </row>
    <row r="12" spans="1:4" s="250" customFormat="1" ht="17.25" customHeight="1">
      <c r="A12" s="262"/>
      <c r="B12" s="266" t="s">
        <v>49</v>
      </c>
      <c r="C12" s="264" t="s">
        <v>178</v>
      </c>
      <c r="D12" s="268"/>
    </row>
    <row r="13" spans="1:4" s="250" customFormat="1" ht="17.25" customHeight="1">
      <c r="A13" s="262"/>
      <c r="B13" s="270"/>
      <c r="C13" s="270"/>
      <c r="D13" s="265"/>
    </row>
    <row r="14" spans="1:4" ht="17.25" customHeight="1">
      <c r="A14" s="262"/>
      <c r="B14" s="266" t="s">
        <v>110</v>
      </c>
      <c r="C14" s="264"/>
      <c r="D14" s="268"/>
    </row>
    <row r="15" spans="2:4" ht="19.5" customHeight="1">
      <c r="B15" s="270"/>
      <c r="C15" s="270"/>
      <c r="D15" s="265"/>
    </row>
    <row r="17" spans="2:3" ht="19.5" customHeight="1" hidden="1">
      <c r="B17" t="s">
        <v>110</v>
      </c>
      <c r="C17" s="274">
        <f>D51</f>
        <v>8</v>
      </c>
    </row>
    <row r="18" spans="2:3" ht="19.5" customHeight="1" hidden="1">
      <c r="B18" t="s">
        <v>170</v>
      </c>
      <c r="C18" s="274">
        <v>0</v>
      </c>
    </row>
    <row r="19" ht="19.5" customHeight="1" hidden="1"/>
    <row r="20" ht="19.5" customHeight="1" hidden="1">
      <c r="B20" t="s">
        <v>50</v>
      </c>
    </row>
    <row r="21" spans="1:2" ht="19.5" customHeight="1" hidden="1">
      <c r="A21" s="271">
        <f>IF(OR(Пары32!C9&gt;3,Пары24!C9&gt;3,Пары16!C9&gt;3,Пары12!C9&gt;3,Пары8!C9&gt;3),1,0)</f>
        <v>1</v>
      </c>
      <c r="B21" t="s">
        <v>51</v>
      </c>
    </row>
    <row r="22" ht="19.5" customHeight="1" hidden="1">
      <c r="B22" t="s">
        <v>52</v>
      </c>
    </row>
    <row r="23" spans="1:2" ht="19.5" customHeight="1" hidden="1">
      <c r="A23" s="271">
        <f>SUM(A20:A22)</f>
        <v>1</v>
      </c>
      <c r="B23" t="s">
        <v>53</v>
      </c>
    </row>
    <row r="24" ht="19.5" customHeight="1" hidden="1"/>
    <row r="25" spans="1:4" ht="19.5" customHeight="1" hidden="1">
      <c r="A25" s="272"/>
      <c r="B25" s="273"/>
      <c r="C25" s="274" t="str">
        <f>IF(A26=0,"",INDEX(C26:C32,A26))</f>
        <v>12</v>
      </c>
      <c r="D25" s="275" t="str">
        <f>IF(A34=3,CONCATENATE(IF(A26&gt;5,"МЖ","ЮД"),C25),CONCATENATE(LEFT(C5,1),C25))</f>
        <v>Д12</v>
      </c>
    </row>
    <row r="26" spans="1:4" ht="19.5" customHeight="1" hidden="1">
      <c r="A26" s="276">
        <v>2</v>
      </c>
      <c r="B26" t="s">
        <v>54</v>
      </c>
      <c r="C26" s="277" t="s">
        <v>55</v>
      </c>
      <c r="D26" s="511" t="b">
        <v>1</v>
      </c>
    </row>
    <row r="27" spans="2:3" ht="19.5" customHeight="1" hidden="1">
      <c r="B27" t="str">
        <f>IF(D26,"до 13 лет","12 лет и моложе")</f>
        <v>до 13 лет</v>
      </c>
      <c r="C27" s="277" t="s">
        <v>56</v>
      </c>
    </row>
    <row r="28" spans="2:3" ht="19.5" customHeight="1" hidden="1">
      <c r="B28" t="str">
        <f>IF(D26,"до 15 лет","14 лет и моложе")</f>
        <v>до 15 лет</v>
      </c>
      <c r="C28" s="277" t="s">
        <v>57</v>
      </c>
    </row>
    <row r="29" spans="2:3" ht="19.5" customHeight="1" hidden="1">
      <c r="B29" t="str">
        <f>IF(D26,"до 17 лет","16 лет и моложе")</f>
        <v>до 17 лет</v>
      </c>
      <c r="C29" s="277" t="s">
        <v>58</v>
      </c>
    </row>
    <row r="30" spans="2:3" ht="19.5" customHeight="1" hidden="1">
      <c r="B30" t="str">
        <f>IF(D26,"до 19 лет","18 лет и моложе")</f>
        <v>до 19 лет</v>
      </c>
      <c r="C30" s="277" t="s">
        <v>59</v>
      </c>
    </row>
    <row r="31" spans="2:3" ht="19.5" customHeight="1" hidden="1">
      <c r="B31" t="s">
        <v>60</v>
      </c>
      <c r="C31" s="277" t="s">
        <v>61</v>
      </c>
    </row>
    <row r="32" spans="2:3" ht="19.5" customHeight="1" hidden="1">
      <c r="B32" t="s">
        <v>62</v>
      </c>
      <c r="C32" s="277" t="s">
        <v>61</v>
      </c>
    </row>
    <row r="33" ht="19.5" customHeight="1" hidden="1"/>
    <row r="34" spans="1:3" ht="19.5" customHeight="1" hidden="1">
      <c r="A34" s="276">
        <v>2</v>
      </c>
      <c r="B34" t="s">
        <v>63</v>
      </c>
      <c r="C34" t="str">
        <f>IF(A26&gt;5,"Мужчины","Юноши")</f>
        <v>Юноши</v>
      </c>
    </row>
    <row r="35" spans="2:3" ht="19.5" customHeight="1" hidden="1">
      <c r="B35" t="s">
        <v>64</v>
      </c>
      <c r="C35" t="str">
        <f>IF(A26&gt;5,"Женщины","Девушки")</f>
        <v>Девушки</v>
      </c>
    </row>
    <row r="36" spans="2:3" ht="19.5" customHeight="1" hidden="1">
      <c r="B36" t="s">
        <v>80</v>
      </c>
      <c r="C36" t="s">
        <v>80</v>
      </c>
    </row>
    <row r="37" spans="1:3" ht="19.5" customHeight="1" hidden="1">
      <c r="A37" s="276">
        <v>5</v>
      </c>
      <c r="B37" t="s">
        <v>65</v>
      </c>
      <c r="C37" t="str">
        <f>IF(A37=0,"",INDEX(B37:B44,A37))</f>
        <v>III</v>
      </c>
    </row>
    <row r="38" ht="19.5" customHeight="1" hidden="1">
      <c r="B38" t="s">
        <v>66</v>
      </c>
    </row>
    <row r="39" ht="19.5" customHeight="1" hidden="1">
      <c r="B39" t="s">
        <v>67</v>
      </c>
    </row>
    <row r="40" ht="19.5" customHeight="1" hidden="1">
      <c r="B40" t="s">
        <v>68</v>
      </c>
    </row>
    <row r="41" ht="19.5" customHeight="1" hidden="1">
      <c r="B41" t="s">
        <v>69</v>
      </c>
    </row>
    <row r="42" ht="19.5" customHeight="1" hidden="1">
      <c r="B42" t="s">
        <v>70</v>
      </c>
    </row>
    <row r="43" ht="19.5" customHeight="1" hidden="1">
      <c r="B43" t="s">
        <v>71</v>
      </c>
    </row>
    <row r="44" ht="19.5" customHeight="1" hidden="1">
      <c r="B44" t="s">
        <v>72</v>
      </c>
    </row>
    <row r="45" ht="19.5" customHeight="1" hidden="1"/>
    <row r="46" spans="1:3" ht="19.5" customHeight="1" hidden="1">
      <c r="A46" s="276">
        <v>3</v>
      </c>
      <c r="B46" s="249" t="s">
        <v>73</v>
      </c>
      <c r="C46" t="str">
        <f>IF(OR(A46=0,A37&lt;3,A37=8),"",INDEX(B46:B49,A46))</f>
        <v>В</v>
      </c>
    </row>
    <row r="47" ht="19.5" customHeight="1" hidden="1">
      <c r="B47" s="249" t="s">
        <v>74</v>
      </c>
    </row>
    <row r="48" ht="19.5" customHeight="1" hidden="1">
      <c r="B48" s="249" t="s">
        <v>75</v>
      </c>
    </row>
    <row r="49" ht="19.5" customHeight="1" hidden="1">
      <c r="B49" s="249" t="s">
        <v>76</v>
      </c>
    </row>
    <row r="50" ht="19.5" customHeight="1" hidden="1"/>
    <row r="51" spans="2:4" ht="19.5" customHeight="1" hidden="1">
      <c r="B51" s="249" t="s">
        <v>110</v>
      </c>
      <c r="C51" s="461" t="s">
        <v>152</v>
      </c>
      <c r="D51" s="462">
        <f>INDEX(B62:B66,A52)</f>
        <v>8</v>
      </c>
    </row>
    <row r="52" spans="1:4" ht="19.5" customHeight="1" hidden="1">
      <c r="A52" s="276">
        <v>1</v>
      </c>
      <c r="B52" s="249" t="s">
        <v>111</v>
      </c>
      <c r="C52" s="461" t="s">
        <v>153</v>
      </c>
      <c r="D52" s="462">
        <f>INDEX(C62:C66,A52)</f>
        <v>7</v>
      </c>
    </row>
    <row r="53" spans="2:4" ht="19.5" customHeight="1" hidden="1">
      <c r="B53" s="249" t="s">
        <v>112</v>
      </c>
      <c r="C53" s="461" t="s">
        <v>154</v>
      </c>
      <c r="D53" s="462">
        <f>INDEX(D62:D66,A52)</f>
        <v>1</v>
      </c>
    </row>
    <row r="54" ht="19.5" customHeight="1" hidden="1">
      <c r="B54" s="249" t="s">
        <v>113</v>
      </c>
    </row>
    <row r="55" ht="19.5" customHeight="1" hidden="1">
      <c r="B55" s="249" t="s">
        <v>114</v>
      </c>
    </row>
    <row r="56" ht="19.5" customHeight="1" hidden="1">
      <c r="B56" s="249" t="s">
        <v>115</v>
      </c>
    </row>
    <row r="57" ht="19.5" customHeight="1" hidden="1"/>
    <row r="58" ht="19.5" customHeight="1" hidden="1"/>
    <row r="59" ht="19.5" customHeight="1" hidden="1"/>
    <row r="60" ht="19.5" customHeight="1" hidden="1"/>
    <row r="61" spans="2:4" ht="19.5" customHeight="1" hidden="1">
      <c r="B61" s="462" t="s">
        <v>110</v>
      </c>
      <c r="C61" s="462" t="s">
        <v>155</v>
      </c>
      <c r="D61" s="462" t="s">
        <v>109</v>
      </c>
    </row>
    <row r="62" spans="2:4" ht="19.5" customHeight="1" hidden="1">
      <c r="B62" s="462">
        <v>8</v>
      </c>
      <c r="C62" s="462">
        <v>7</v>
      </c>
      <c r="D62" s="462">
        <f>B62-C62</f>
        <v>1</v>
      </c>
    </row>
    <row r="63" spans="2:4" ht="19.5" customHeight="1" hidden="1">
      <c r="B63" s="462">
        <v>12</v>
      </c>
      <c r="C63" s="462">
        <v>9</v>
      </c>
      <c r="D63" s="462">
        <f>B63-C63</f>
        <v>3</v>
      </c>
    </row>
    <row r="64" spans="2:4" ht="19.5" customHeight="1" hidden="1">
      <c r="B64" s="462">
        <v>16</v>
      </c>
      <c r="C64" s="462">
        <v>13</v>
      </c>
      <c r="D64" s="462">
        <f>B64-C64</f>
        <v>3</v>
      </c>
    </row>
    <row r="65" spans="2:4" ht="19.5" customHeight="1" hidden="1">
      <c r="B65" s="462">
        <v>24</v>
      </c>
      <c r="C65" s="462">
        <v>20</v>
      </c>
      <c r="D65" s="462">
        <f>B65-C65</f>
        <v>4</v>
      </c>
    </row>
    <row r="66" spans="2:4" ht="19.5" customHeight="1" hidden="1">
      <c r="B66" s="462">
        <v>32</v>
      </c>
      <c r="C66" s="462">
        <v>26</v>
      </c>
      <c r="D66" s="462">
        <f>B66-C66</f>
        <v>6</v>
      </c>
    </row>
    <row r="67" ht="19.5" customHeight="1" hidden="1"/>
  </sheetData>
  <sheetProtection password="81FF" sheet="1" objects="1" scenarios="1" selectLockedCells="1"/>
  <printOptions/>
  <pageMargins left="0.75" right="0.75" top="1" bottom="1" header="0.5" footer="0.5"/>
  <pageSetup fitToHeight="5"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12">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J17" sqref="J17"/>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6" t="s">
        <v>117</v>
      </c>
      <c r="C1" s="836"/>
      <c r="D1" s="836"/>
      <c r="E1" s="836"/>
      <c r="F1" s="836"/>
      <c r="G1" s="836"/>
      <c r="H1" s="836"/>
      <c r="I1" s="836"/>
      <c r="J1" s="836"/>
      <c r="K1" s="836"/>
      <c r="L1" s="836"/>
      <c r="M1" s="836"/>
      <c r="N1" s="836"/>
      <c r="O1" s="836"/>
      <c r="P1" s="836"/>
      <c r="Q1" s="836"/>
      <c r="R1" s="2"/>
      <c r="AA1" s="620" t="b">
        <v>0</v>
      </c>
    </row>
    <row r="2" spans="1:18"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837"/>
      <c r="R2" s="129"/>
    </row>
    <row r="3" spans="2:18" s="6" customFormat="1" ht="8.25" customHeight="1">
      <c r="B3" s="838" t="s">
        <v>0</v>
      </c>
      <c r="C3" s="838"/>
      <c r="D3" s="838"/>
      <c r="E3" s="838"/>
      <c r="F3" s="838"/>
      <c r="G3" s="838"/>
      <c r="H3" s="838"/>
      <c r="I3" s="838"/>
      <c r="J3" s="838"/>
      <c r="K3" s="838"/>
      <c r="L3" s="838"/>
      <c r="M3" s="838"/>
      <c r="N3" s="838"/>
      <c r="O3" s="838"/>
      <c r="P3" s="838"/>
      <c r="Q3" s="838"/>
      <c r="R3" s="7"/>
    </row>
    <row r="4" spans="2:18" ht="11.25" customHeight="1">
      <c r="B4" s="808" t="s">
        <v>173</v>
      </c>
      <c r="C4" s="839"/>
      <c r="D4" s="839"/>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13 ЛЕТ</v>
      </c>
      <c r="M5" s="811"/>
      <c r="N5" s="811"/>
      <c r="O5" s="811"/>
      <c r="P5" s="13"/>
      <c r="Q5" s="809" t="str">
        <f>IF(Установка!$C$5="","Ю/Д/М/Ж/СМ",UPPER(Установка!$C$5))</f>
        <v>ДЕВУШКИ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808" t="s">
        <v>4</v>
      </c>
      <c r="G8" s="808"/>
      <c r="H8" s="808"/>
      <c r="I8" s="808" t="s">
        <v>5</v>
      </c>
      <c r="J8" s="808"/>
      <c r="K8" s="808"/>
      <c r="L8" s="808" t="s">
        <v>6</v>
      </c>
      <c r="M8" s="808"/>
      <c r="N8" s="808"/>
      <c r="O8" s="808" t="s">
        <v>7</v>
      </c>
      <c r="P8" s="808"/>
      <c r="Q8" s="808"/>
      <c r="R8" s="34"/>
    </row>
    <row r="9" spans="1:18" ht="6" customHeight="1">
      <c r="A9" s="821" t="s">
        <v>8</v>
      </c>
      <c r="B9" s="823" t="s">
        <v>9</v>
      </c>
      <c r="C9" s="854">
        <f>MAX(C12:C57)+1</f>
        <v>3</v>
      </c>
      <c r="D9" s="801" t="s">
        <v>34</v>
      </c>
      <c r="E9" s="803"/>
      <c r="F9" s="130"/>
      <c r="G9" s="35"/>
      <c r="H9" s="36"/>
      <c r="I9" s="8"/>
      <c r="J9" s="37"/>
      <c r="K9" s="8"/>
      <c r="L9" s="8"/>
      <c r="M9" s="38"/>
      <c r="N9" s="38"/>
      <c r="O9" s="38"/>
      <c r="P9" s="38"/>
      <c r="Q9" s="39"/>
      <c r="R9" s="38"/>
    </row>
    <row r="10" spans="1:18" ht="9.75" customHeight="1">
      <c r="A10" s="822"/>
      <c r="B10" s="824"/>
      <c r="C10" s="854"/>
      <c r="D10" s="801"/>
      <c r="E10" s="803"/>
      <c r="F10" s="131" t="s">
        <v>21</v>
      </c>
      <c r="G10" s="40"/>
      <c r="H10" s="41"/>
      <c r="I10" s="42"/>
      <c r="J10" s="43"/>
      <c r="K10" s="43"/>
      <c r="L10" s="43"/>
      <c r="M10" s="44"/>
      <c r="N10" s="45"/>
      <c r="O10" s="46"/>
      <c r="P10" s="44"/>
      <c r="Q10" s="45"/>
      <c r="R10" s="803"/>
    </row>
    <row r="11" spans="1:18" s="53" customFormat="1" ht="9.75" customHeight="1" thickBot="1">
      <c r="A11" s="822"/>
      <c r="B11" s="824"/>
      <c r="C11" s="855"/>
      <c r="D11" s="802"/>
      <c r="E11" s="804"/>
      <c r="F11" s="132" t="s">
        <v>35</v>
      </c>
      <c r="G11" s="40"/>
      <c r="H11" s="47"/>
      <c r="I11" s="48"/>
      <c r="J11" s="49"/>
      <c r="K11" s="49"/>
      <c r="L11" s="49"/>
      <c r="M11" s="50"/>
      <c r="N11" s="51"/>
      <c r="O11" s="52"/>
      <c r="P11" s="50"/>
      <c r="Q11" s="51"/>
      <c r="R11" s="880"/>
    </row>
    <row r="12" spans="1:18" s="53" customFormat="1" ht="15" customHeight="1">
      <c r="A12" s="758" t="str">
        <f>IF($C12="","1",IF(AND($C12&gt;=1,$C12&lt;17),INDEX(ПодгПар!$P$6:$P$17,$C12),""))</f>
        <v>1 </v>
      </c>
      <c r="B12" s="759">
        <v>1</v>
      </c>
      <c r="C12" s="796">
        <v>1</v>
      </c>
      <c r="D12" s="133" t="str">
        <f>IF($C12="","",IF(AND($C12&gt;=1,$C12&lt;13),INDEX(ПодгПар!$AB$6:$AB$17,$C12,1),"Х"))</f>
        <v>МАТВЕЕВА</v>
      </c>
      <c r="E12" s="134" t="str">
        <f>IF($C12="","",IF(AND($C12&gt;=1,$C12&lt;13),INDEX(ПодгПар!$W$6:$W$17,$C12,1),""))</f>
        <v>Е.О.</v>
      </c>
      <c r="F12" s="135" t="str">
        <f>IF($C12="","",IF(AND($C12&gt;=1,$C12&lt;13),INDEX(ПодгПар!$F$6:$F$17,$C12,1),""))</f>
        <v>Уфа</v>
      </c>
      <c r="G12" s="857" t="str">
        <f>IF(G14=0,CONCATENATE("поб.",D12,",",D13),IF(G14=1,D12,IF(G14=2,D14,"Х")))</f>
        <v>МАТВЕЕВА</v>
      </c>
      <c r="H12" s="858"/>
      <c r="I12" s="858"/>
      <c r="J12" s="54"/>
      <c r="K12" s="55"/>
      <c r="L12" s="55"/>
      <c r="M12" s="56"/>
      <c r="N12" s="56"/>
      <c r="O12" s="56"/>
      <c r="P12" s="57"/>
      <c r="Q12" s="56"/>
      <c r="R12" s="56"/>
    </row>
    <row r="13" spans="1:19" s="9" customFormat="1" ht="15" customHeight="1">
      <c r="A13" s="730"/>
      <c r="B13" s="760"/>
      <c r="C13" s="797"/>
      <c r="D13" s="165" t="str">
        <f>IF($C12="","",IF(AND($C12&gt;=1,$C12&lt;13),INDEX(ПодгПар!$AL$6:$AL$17,$C12,1),"Х"))</f>
        <v>ХАБАРОВА</v>
      </c>
      <c r="E13" s="166" t="str">
        <f>IF($C12="","",IF(AND($C12&gt;=1,$C12&lt;13),INDEX(ПодгПар!$AJ$6:$AJ$17,$C12,1),""))</f>
        <v>А.О.</v>
      </c>
      <c r="F13" s="167" t="str">
        <f>IF($C12="","",IF(AND($C12&gt;=1,$C12&lt;13),INDEX(ПодгПар!$K$6:$K$17,$C12,1),""))</f>
        <v>Уфа</v>
      </c>
      <c r="G13" s="862" t="str">
        <f>IF(G14=0,CONCATENATE(D14,",",D15),IF(G14=1,D13,IF(G14=2,D15,"Х")))</f>
        <v>ХАБАРОВА</v>
      </c>
      <c r="H13" s="863"/>
      <c r="I13" s="863"/>
      <c r="J13" s="58"/>
      <c r="K13" s="59"/>
      <c r="L13" s="59"/>
      <c r="M13" s="60"/>
      <c r="N13" s="61"/>
      <c r="O13" s="61"/>
      <c r="P13" s="60"/>
      <c r="Q13" s="61"/>
      <c r="R13" s="61"/>
      <c r="S13" s="62"/>
    </row>
    <row r="14" spans="1:19" s="9" customFormat="1" ht="15" customHeight="1">
      <c r="A14" s="729">
        <f>IF($C14="","",IF(AND($C14&gt;=1,$C14&lt;17),INDEX(ПодгПар!$P$6:$P$17,$C14),""))</f>
      </c>
      <c r="B14" s="769">
        <v>2</v>
      </c>
      <c r="C14" s="844" t="s">
        <v>172</v>
      </c>
      <c r="D14" s="401" t="str">
        <f>IF($C14="","",IF(AND($C14&gt;=1,$C14&lt;13),INDEX(ПодгПар!$AB$6:$AB$17,$C14,1),"Х"))</f>
        <v>Х</v>
      </c>
      <c r="E14" s="402">
        <f>IF($C14="","",IF(AND($C14&gt;=1,$C14&lt;13),INDEX(ПодгПар!$W$6:$W$17,$C14,1),""))</f>
      </c>
      <c r="F14" s="403">
        <f>IF($C14="","",IF(AND($C14&gt;=1,$C14&lt;13),INDEX(ПодгПар!$F$6:$F$17,$C14,1),""))</f>
      </c>
      <c r="G14" s="413">
        <v>1</v>
      </c>
      <c r="H14" s="888"/>
      <c r="I14" s="889"/>
      <c r="J14" s="63"/>
      <c r="K14" s="59"/>
      <c r="L14" s="59"/>
      <c r="M14" s="60"/>
      <c r="N14" s="61"/>
      <c r="O14" s="61"/>
      <c r="P14" s="60"/>
      <c r="Q14" s="61"/>
      <c r="R14" s="61"/>
      <c r="S14" s="62"/>
    </row>
    <row r="15" spans="1:19" s="9" customFormat="1" ht="15" customHeight="1" thickBot="1">
      <c r="A15" s="748"/>
      <c r="B15" s="770"/>
      <c r="C15" s="845"/>
      <c r="D15" s="404" t="str">
        <f>IF($C14="","",IF(AND($C14&gt;=1,$C14&lt;13),INDEX(ПодгПар!$AL$6:$AL$17,$C14,1),"Х"))</f>
        <v>Х</v>
      </c>
      <c r="E15" s="405">
        <f>IF($C14="","",IF(AND($C14&gt;=1,$C14&lt;13),INDEX(ПодгПар!$AJ$6:$AJ$17,$C14,1),""))</f>
      </c>
      <c r="F15" s="406">
        <f>IF($C14="","",IF(AND($C14&gt;=1,$C14&lt;13),INDEX(ПодгПар!$K$6:$K$17,$C14,1),""))</f>
      </c>
      <c r="G15" s="116"/>
      <c r="H15" s="140"/>
      <c r="I15" s="141"/>
      <c r="J15" s="860" t="str">
        <f>IF(J17=0,CONCATENATE("поб.",G12,",",G13),IF(J17=1,G12,IF(J17=2,G18,"Х")))</f>
        <v>поб.МАТВЕЕВА,ХАБАРОВА</v>
      </c>
      <c r="K15" s="861"/>
      <c r="L15" s="861"/>
      <c r="M15" s="63"/>
      <c r="N15" s="61"/>
      <c r="O15" s="61"/>
      <c r="P15" s="60"/>
      <c r="Q15" s="61"/>
      <c r="R15" s="61"/>
      <c r="S15" s="62"/>
    </row>
    <row r="16" spans="1:19" s="9" customFormat="1" ht="15" customHeight="1">
      <c r="A16" s="776"/>
      <c r="B16" s="778"/>
      <c r="C16" s="780"/>
      <c r="D16" s="849"/>
      <c r="E16" s="142"/>
      <c r="F16" s="849"/>
      <c r="G16" s="65"/>
      <c r="H16" s="140"/>
      <c r="I16" s="141"/>
      <c r="J16" s="875" t="str">
        <f>IF(J17=0,CONCATENATE(G18,",",G19),IF(J17=1,G13,IF(J17=2,G19,"Х")))</f>
        <v>поб.,,,</v>
      </c>
      <c r="K16" s="876"/>
      <c r="L16" s="876"/>
      <c r="M16" s="63"/>
      <c r="N16" s="61"/>
      <c r="O16" s="61"/>
      <c r="P16" s="60"/>
      <c r="Q16" s="61"/>
      <c r="R16" s="61"/>
      <c r="S16" s="62"/>
    </row>
    <row r="17" spans="1:19" s="9" customFormat="1" ht="15" customHeight="1" thickBot="1">
      <c r="A17" s="777"/>
      <c r="B17" s="779"/>
      <c r="C17" s="781"/>
      <c r="D17" s="850"/>
      <c r="E17" s="143"/>
      <c r="F17" s="850"/>
      <c r="G17" s="65"/>
      <c r="H17" s="64"/>
      <c r="I17" s="144"/>
      <c r="J17" s="145"/>
      <c r="K17" s="873"/>
      <c r="L17" s="873"/>
      <c r="M17" s="66"/>
      <c r="N17" s="61"/>
      <c r="O17" s="61"/>
      <c r="P17" s="60"/>
      <c r="Q17" s="61"/>
      <c r="R17" s="61"/>
      <c r="S17" s="62"/>
    </row>
    <row r="18" spans="1:19" s="9" customFormat="1" ht="15" customHeight="1">
      <c r="A18" s="758">
        <f>IF($C18="","",IF(AND($C18&gt;=1,$C18&lt;17),INDEX(ПодгПар!$P$6:$P$17,$C18),""))</f>
      </c>
      <c r="B18" s="759">
        <v>3</v>
      </c>
      <c r="C18" s="761"/>
      <c r="D18" s="133">
        <f>IF($C18="","",IF(AND($C18&gt;=1,$C18&lt;13),INDEX(ПодгПар!$AB$6:$AB$17,$C18,1),"Х"))</f>
      </c>
      <c r="E18" s="134">
        <f>IF($C18="","",IF(AND($C18&gt;=1,$C18&lt;13),INDEX(ПодгПар!$W$6:$W$17,$C18,1),""))</f>
      </c>
      <c r="F18" s="135">
        <f>IF($C18="","",IF(AND($C18&gt;=1,$C18&lt;13),INDEX(ПодгПар!$F$6:$F$17,$C18,1),""))</f>
      </c>
      <c r="G18" s="857" t="str">
        <f>IF(G20=0,CONCATENATE("поб.",D18,",",D19),IF(G20=1,D18,IF(G20=2,D20,"Х")))</f>
        <v>поб.,</v>
      </c>
      <c r="H18" s="858"/>
      <c r="I18" s="859"/>
      <c r="J18" s="58"/>
      <c r="K18" s="67"/>
      <c r="L18" s="67"/>
      <c r="M18" s="66"/>
      <c r="N18" s="61"/>
      <c r="O18" s="61"/>
      <c r="P18" s="60"/>
      <c r="Q18" s="61"/>
      <c r="R18" s="61"/>
      <c r="S18" s="62"/>
    </row>
    <row r="19" spans="1:19" s="9" customFormat="1" ht="15" customHeight="1">
      <c r="A19" s="730"/>
      <c r="B19" s="760"/>
      <c r="C19" s="762"/>
      <c r="D19" s="165">
        <f>IF($C18="","",IF(AND($C18&gt;=1,$C18&lt;13),INDEX(ПодгПар!$AL$6:$AL$17,$C18,1),"Х"))</f>
      </c>
      <c r="E19" s="166">
        <f>IF($C18="","",IF(AND($C18&gt;=1,$C18&lt;13),INDEX(ПодгПар!$AJ$6:$AJ$17,$C18,1),""))</f>
      </c>
      <c r="F19" s="167">
        <f>IF($C18="","",IF(AND($C18&gt;=1,$C18&lt;13),INDEX(ПодгПар!$K$6:$K$17,$C18,1),""))</f>
      </c>
      <c r="G19" s="862" t="str">
        <f>IF(G20=0,CONCATENATE(D20,",",D21),IF(G20=1,D19,IF(G20=2,D21,"Х")))</f>
        <v>,</v>
      </c>
      <c r="H19" s="863"/>
      <c r="I19" s="864"/>
      <c r="J19" s="58"/>
      <c r="K19" s="59"/>
      <c r="L19" s="59"/>
      <c r="M19" s="68"/>
      <c r="N19" s="61"/>
      <c r="O19" s="61"/>
      <c r="P19" s="60"/>
      <c r="Q19" s="61"/>
      <c r="R19" s="61"/>
      <c r="S19" s="62"/>
    </row>
    <row r="20" spans="1:19" s="9" customFormat="1" ht="15" customHeight="1">
      <c r="A20" s="729">
        <f>IF($C20="","",IF(AND($C20&gt;=1,$C20&lt;17),INDEX(ПодгПар!$P$6:$P$17,$C20),""))</f>
      </c>
      <c r="B20" s="769">
        <v>4</v>
      </c>
      <c r="C20" s="788"/>
      <c r="D20" s="136">
        <f>IF($C20="","",IF(AND($C20&gt;=1,$C20&lt;13),INDEX(ПодгПар!$AB$6:$AB$17,$C20,1),"Х"))</f>
      </c>
      <c r="E20" s="137">
        <f>IF($C20="","",IF(AND($C20&gt;=1,$C20&lt;13),INDEX(ПодгПар!$W$6:$W$17,$C20,1),""))</f>
      </c>
      <c r="F20" s="138">
        <f>IF($C20="","",IF(AND($C20&gt;=1,$C20&lt;13),INDEX(ПодгПар!$F$6:$F$17,$C20,1),""))</f>
      </c>
      <c r="G20" s="139"/>
      <c r="H20" s="848"/>
      <c r="I20" s="848"/>
      <c r="J20" s="63"/>
      <c r="K20" s="59"/>
      <c r="L20" s="59"/>
      <c r="M20" s="68"/>
      <c r="N20" s="757"/>
      <c r="O20" s="757"/>
      <c r="P20" s="60"/>
      <c r="Q20" s="61"/>
      <c r="R20" s="61"/>
      <c r="S20" s="62"/>
    </row>
    <row r="21" spans="1:19" s="9" customFormat="1" ht="15" customHeight="1" thickBot="1">
      <c r="A21" s="748"/>
      <c r="B21" s="770"/>
      <c r="C21" s="789"/>
      <c r="D21" s="168">
        <f>IF($C20="","",IF(AND($C20&gt;=1,$C20&lt;13),INDEX(ПодгПар!$AL$6:$AL$17,$C20,1),"Х"))</f>
      </c>
      <c r="E21" s="169">
        <f>IF($C20="","",IF(AND($C20&gt;=1,$C20&lt;13),INDEX(ПодгПар!$AJ$6:$AJ$17,$C20,1),""))</f>
      </c>
      <c r="F21" s="170">
        <f>IF($C20="","",IF(AND($C20&gt;=1,$C20&lt;13),INDEX(ПодгПар!$K$6:$K$17,$C20,1),""))</f>
      </c>
      <c r="G21" s="147"/>
      <c r="H21" s="64"/>
      <c r="I21" s="64"/>
      <c r="J21" s="58"/>
      <c r="K21" s="59"/>
      <c r="L21" s="59"/>
      <c r="M21" s="879" t="str">
        <f>IF(M23=0,CONCATENATE("поб.",J15,",",J16),IF(M23=1,J15,IF(M23=2,J27,"Х")))</f>
        <v>поб.поб.МАТВЕЕВА,ХАБАРОВА,поб.,,,</v>
      </c>
      <c r="N21" s="757"/>
      <c r="O21" s="757"/>
      <c r="P21" s="60"/>
      <c r="Q21" s="61"/>
      <c r="R21" s="61"/>
      <c r="S21" s="62"/>
    </row>
    <row r="22" spans="1:19" s="9" customFormat="1" ht="15" customHeight="1">
      <c r="A22" s="776"/>
      <c r="B22" s="778"/>
      <c r="C22" s="780"/>
      <c r="D22" s="849"/>
      <c r="E22" s="142"/>
      <c r="F22" s="849"/>
      <c r="G22" s="65"/>
      <c r="H22" s="64"/>
      <c r="I22" s="64"/>
      <c r="J22" s="58"/>
      <c r="K22" s="59"/>
      <c r="L22" s="59"/>
      <c r="M22" s="877" t="str">
        <f>IF(M23=0,CONCATENATE(J27,",",J28),IF(M23=1,J16,IF(M23=2,J28,"Х")))</f>
        <v>поб.,,поб.,,,</v>
      </c>
      <c r="N22" s="878"/>
      <c r="O22" s="878"/>
      <c r="P22" s="69"/>
      <c r="Q22" s="61"/>
      <c r="R22" s="61"/>
      <c r="S22" s="62"/>
    </row>
    <row r="23" spans="1:19" s="9" customFormat="1" ht="15" customHeight="1" thickBot="1">
      <c r="A23" s="777"/>
      <c r="B23" s="779"/>
      <c r="C23" s="781"/>
      <c r="D23" s="850"/>
      <c r="E23" s="143"/>
      <c r="F23" s="850"/>
      <c r="G23" s="65"/>
      <c r="H23" s="140"/>
      <c r="I23" s="140"/>
      <c r="J23" s="63"/>
      <c r="K23" s="59"/>
      <c r="L23" s="59"/>
      <c r="M23" s="148"/>
      <c r="N23" s="873"/>
      <c r="O23" s="873"/>
      <c r="P23" s="66"/>
      <c r="Q23" s="61"/>
      <c r="R23" s="61"/>
      <c r="S23" s="62"/>
    </row>
    <row r="24" spans="1:19" s="9" customFormat="1" ht="15" customHeight="1">
      <c r="A24" s="758" t="str">
        <f>IF($C24="","3 или 4",IF(AND($C24&gt;=1,$C24&lt;17),INDEX(ПодгПар!$P$6:$P$17,$C24),""))</f>
        <v>3 или 4</v>
      </c>
      <c r="B24" s="759">
        <v>5</v>
      </c>
      <c r="C24" s="796"/>
      <c r="D24" s="133">
        <f>IF($C24="","",IF(AND($C24&gt;=1,$C24&lt;13),INDEX(ПодгПар!$AB$6:$AB$17,$C24,1),"Х"))</f>
      </c>
      <c r="E24" s="134">
        <f>IF($C24="","",IF(AND($C24&gt;=1,$C24&lt;13),INDEX(ПодгПар!$W$6:$W$17,$C24,1),""))</f>
      </c>
      <c r="F24" s="135">
        <f>IF($C24="","",IF(AND($C24&gt;=1,$C24&lt;13),INDEX(ПодгПар!$F$6:$F$17,$C24,1),""))</f>
      </c>
      <c r="G24" s="857">
        <f>IF(G26=0,CONCATENATE("поб.",D24,",",D25),IF(G26=1,D24,IF(G26=2,D26,"Х")))</f>
      </c>
      <c r="H24" s="858"/>
      <c r="I24" s="858"/>
      <c r="J24" s="149"/>
      <c r="K24" s="59"/>
      <c r="L24" s="59"/>
      <c r="M24" s="68"/>
      <c r="N24" s="61"/>
      <c r="O24" s="61"/>
      <c r="P24" s="68"/>
      <c r="Q24" s="61"/>
      <c r="R24" s="61"/>
      <c r="S24" s="62"/>
    </row>
    <row r="25" spans="1:19" s="9" customFormat="1" ht="15" customHeight="1">
      <c r="A25" s="730"/>
      <c r="B25" s="760"/>
      <c r="C25" s="797"/>
      <c r="D25" s="165">
        <f>IF($C24="","",IF(AND($C24&gt;=1,$C24&lt;13),INDEX(ПодгПар!$AL$6:$AL$17,$C24,1),"Х"))</f>
      </c>
      <c r="E25" s="166">
        <f>IF($C24="","",IF(AND($C24&gt;=1,$C24&lt;13),INDEX(ПодгПар!$AJ$6:$AJ$17,$C24,1),""))</f>
      </c>
      <c r="F25" s="167">
        <f>IF($C24="","",IF(AND($C24&gt;=1,$C24&lt;13),INDEX(ПодгПар!$K$6:$K$17,$C24,1),""))</f>
      </c>
      <c r="G25" s="862">
        <f>IF(G26=0,CONCATENATE(D26,",",D27),IF(G26=1,D25,IF(G26=2,D27,"Х")))</f>
      </c>
      <c r="H25" s="863"/>
      <c r="I25" s="863"/>
      <c r="J25" s="58"/>
      <c r="K25" s="67"/>
      <c r="L25" s="67"/>
      <c r="M25" s="66"/>
      <c r="N25" s="61"/>
      <c r="O25" s="61"/>
      <c r="P25" s="68"/>
      <c r="Q25" s="61"/>
      <c r="R25" s="61"/>
      <c r="S25" s="62"/>
    </row>
    <row r="26" spans="1:19" s="9" customFormat="1" ht="15" customHeight="1">
      <c r="A26" s="729">
        <f>IF($C26="","",IF(AND($C26&gt;=1,$C26&lt;17),INDEX(ПодгПар!$P$6:$P$17,$C26),""))</f>
      </c>
      <c r="B26" s="769">
        <v>6</v>
      </c>
      <c r="C26" s="844" t="s">
        <v>172</v>
      </c>
      <c r="D26" s="401" t="str">
        <f>IF($C26="","",IF(AND($C26&gt;=1,$C26&lt;13),INDEX(ПодгПар!$AB$6:$AB$17,$C26,1),"Х"))</f>
        <v>Х</v>
      </c>
      <c r="E26" s="402">
        <f>IF($C26="","",IF(AND($C26&gt;=1,$C26&lt;13),INDEX(ПодгПар!$W$6:$W$17,$C26,1),""))</f>
      </c>
      <c r="F26" s="403">
        <f>IF($C26="","",IF(AND($C26&gt;=1,$C26&lt;13),INDEX(ПодгПар!$F$6:$F$17,$C26,1),""))</f>
      </c>
      <c r="G26" s="413">
        <v>1</v>
      </c>
      <c r="H26" s="888"/>
      <c r="I26" s="889"/>
      <c r="J26" s="63"/>
      <c r="K26" s="67"/>
      <c r="L26" s="67"/>
      <c r="M26" s="66"/>
      <c r="N26" s="61"/>
      <c r="O26" s="61"/>
      <c r="P26" s="68"/>
      <c r="Q26" s="61"/>
      <c r="R26" s="61"/>
      <c r="S26" s="62"/>
    </row>
    <row r="27" spans="1:19" s="9" customFormat="1" ht="15" customHeight="1" thickBot="1">
      <c r="A27" s="748"/>
      <c r="B27" s="770"/>
      <c r="C27" s="845"/>
      <c r="D27" s="404" t="str">
        <f>IF($C26="","",IF(AND($C26&gt;=1,$C26&lt;13),INDEX(ПодгПар!$AL$6:$AL$17,$C26,1),"Х"))</f>
        <v>Х</v>
      </c>
      <c r="E27" s="405">
        <f>IF($C26="","",IF(AND($C26&gt;=1,$C26&lt;13),INDEX(ПодгПар!$AJ$6:$AJ$17,$C26,1),""))</f>
      </c>
      <c r="F27" s="406">
        <f>IF($C26="","",IF(AND($C26&gt;=1,$C26&lt;13),INDEX(ПодгПар!$K$6:$K$17,$C26,1),""))</f>
      </c>
      <c r="G27" s="116"/>
      <c r="H27" s="140"/>
      <c r="I27" s="141"/>
      <c r="J27" s="860" t="str">
        <f>IF(J29=0,CONCATENATE("поб.",G24,",",G25),IF(J29=1,G24,IF(J29=2,G30,"Х")))</f>
        <v>поб.,</v>
      </c>
      <c r="K27" s="861"/>
      <c r="L27" s="861"/>
      <c r="M27" s="70"/>
      <c r="N27" s="61"/>
      <c r="O27" s="61"/>
      <c r="P27" s="68"/>
      <c r="Q27" s="61"/>
      <c r="R27" s="61"/>
      <c r="S27" s="62"/>
    </row>
    <row r="28" spans="1:19" s="9" customFormat="1" ht="15" customHeight="1">
      <c r="A28" s="776"/>
      <c r="B28" s="778"/>
      <c r="C28" s="780"/>
      <c r="D28" s="849"/>
      <c r="E28" s="142"/>
      <c r="F28" s="849"/>
      <c r="G28" s="65"/>
      <c r="H28" s="140"/>
      <c r="I28" s="141"/>
      <c r="J28" s="875" t="str">
        <f>IF(J29=0,CONCATENATE(G30,",",G31),IF(J29=1,G25,IF(J29=2,G31,"Х")))</f>
        <v>поб.,,,</v>
      </c>
      <c r="K28" s="876"/>
      <c r="L28" s="876"/>
      <c r="M28" s="70"/>
      <c r="N28" s="61"/>
      <c r="O28" s="61"/>
      <c r="P28" s="68"/>
      <c r="Q28" s="61"/>
      <c r="R28" s="61"/>
      <c r="S28" s="62"/>
    </row>
    <row r="29" spans="1:19" s="9" customFormat="1" ht="15" customHeight="1" thickBot="1">
      <c r="A29" s="777"/>
      <c r="B29" s="779"/>
      <c r="C29" s="781"/>
      <c r="D29" s="850"/>
      <c r="E29" s="143"/>
      <c r="F29" s="850"/>
      <c r="G29" s="65"/>
      <c r="H29" s="64"/>
      <c r="I29" s="144"/>
      <c r="J29" s="145"/>
      <c r="K29" s="872"/>
      <c r="L29" s="872"/>
      <c r="M29" s="71"/>
      <c r="N29" s="61"/>
      <c r="O29" s="61"/>
      <c r="P29" s="68"/>
      <c r="Q29" s="67"/>
      <c r="R29" s="67"/>
      <c r="S29" s="62"/>
    </row>
    <row r="30" spans="1:19" s="9" customFormat="1" ht="15" customHeight="1">
      <c r="A30" s="758">
        <f>IF($C30="","",IF(AND($C30&gt;=1,$C30&lt;17),INDEX(ПодгПар!$P$6:$P$17,$C30),""))</f>
      </c>
      <c r="B30" s="759">
        <v>7</v>
      </c>
      <c r="C30" s="761"/>
      <c r="D30" s="133">
        <f>IF($C30="","",IF(AND($C30&gt;=1,$C30&lt;13),INDEX(ПодгПар!$AB$6:$AB$17,$C30,1),"Х"))</f>
      </c>
      <c r="E30" s="134">
        <f>IF($C30="","",IF(AND($C30&gt;=1,$C30&lt;13),INDEX(ПодгПар!$W$6:$W$17,$C30,1),""))</f>
      </c>
      <c r="F30" s="135">
        <f>IF($C30="","",IF(AND($C30&gt;=1,$C30&lt;13),INDEX(ПодгПар!$F$6:$F$17,$C30,1),""))</f>
      </c>
      <c r="G30" s="857" t="str">
        <f>IF(G32=0,CONCATENATE("поб.",D30,",",D31),IF(G32=1,D30,IF(G32=2,D32,"Х")))</f>
        <v>поб.,</v>
      </c>
      <c r="H30" s="858"/>
      <c r="I30" s="859"/>
      <c r="J30" s="58"/>
      <c r="K30" s="59"/>
      <c r="L30" s="59"/>
      <c r="M30" s="60"/>
      <c r="N30" s="61"/>
      <c r="O30" s="61"/>
      <c r="P30" s="68"/>
      <c r="Q30" s="67"/>
      <c r="R30" s="67"/>
      <c r="S30" s="62"/>
    </row>
    <row r="31" spans="1:19" s="9" customFormat="1" ht="15" customHeight="1">
      <c r="A31" s="730"/>
      <c r="B31" s="760"/>
      <c r="C31" s="762"/>
      <c r="D31" s="165">
        <f>IF($C30="","",IF(AND($C30&gt;=1,$C30&lt;13),INDEX(ПодгПар!$AL$6:$AL$17,$C30,1),"Х"))</f>
      </c>
      <c r="E31" s="166">
        <f>IF($C30="","",IF(AND($C30&gt;=1,$C30&lt;13),INDEX(ПодгПар!$AJ$6:$AJ$17,$C30,1),""))</f>
      </c>
      <c r="F31" s="167">
        <f>IF($C30="","",IF(AND($C30&gt;=1,$C30&lt;13),INDEX(ПодгПар!$K$6:$K$17,$C30,1),""))</f>
      </c>
      <c r="G31" s="862" t="str">
        <f>IF(G32=0,CONCATENATE(D32,",",D33),IF(G32=1,D31,IF(G32=2,D33,"Х")))</f>
        <v>,</v>
      </c>
      <c r="H31" s="863"/>
      <c r="I31" s="864"/>
      <c r="J31" s="58"/>
      <c r="K31" s="59"/>
      <c r="L31" s="59"/>
      <c r="M31" s="60"/>
      <c r="N31" s="61"/>
      <c r="O31" s="61"/>
      <c r="P31" s="68"/>
      <c r="Q31" s="61"/>
      <c r="R31" s="61"/>
      <c r="S31" s="62"/>
    </row>
    <row r="32" spans="1:19" s="9" customFormat="1" ht="15" customHeight="1">
      <c r="A32" s="729">
        <f>IF($C32="","",IF(AND($C32&gt;=1,$C32&lt;17),INDEX(ПодгПар!$P$6:$P$17,$C32),""))</f>
      </c>
      <c r="B32" s="769">
        <v>8</v>
      </c>
      <c r="C32" s="788"/>
      <c r="D32" s="136">
        <f>IF($C32="","",IF(AND($C32&gt;=1,$C32&lt;13),INDEX(ПодгПар!$AB$6:$AB$17,$C32,1),"Х"))</f>
      </c>
      <c r="E32" s="137">
        <f>IF($C32="","",IF(AND($C32&gt;=1,$C32&lt;13),INDEX(ПодгПар!$W$6:$W$17,$C32,1),""))</f>
      </c>
      <c r="F32" s="138">
        <f>IF($C32="","",IF(AND($C32&gt;=1,$C32&lt;13),INDEX(ПодгПар!$F$6:$F$17,$C32,1),""))</f>
      </c>
      <c r="G32" s="139"/>
      <c r="H32" s="848"/>
      <c r="I32" s="848"/>
      <c r="J32" s="63"/>
      <c r="K32" s="59"/>
      <c r="L32" s="59"/>
      <c r="M32" s="60"/>
      <c r="N32" s="61"/>
      <c r="O32" s="61"/>
      <c r="P32" s="68"/>
      <c r="Q32" s="61"/>
      <c r="R32" s="61"/>
      <c r="S32" s="62"/>
    </row>
    <row r="33" spans="1:19" s="9" customFormat="1" ht="15" customHeight="1" thickBot="1">
      <c r="A33" s="748"/>
      <c r="B33" s="770"/>
      <c r="C33" s="789"/>
      <c r="D33" s="168">
        <f>IF($C32="","",IF(AND($C32&gt;=1,$C32&lt;13),INDEX(ПодгПар!$AL$6:$AL$17,$C32,1),"Х"))</f>
      </c>
      <c r="E33" s="169">
        <f>IF($C32="","",IF(AND($C32&gt;=1,$C32&lt;13),INDEX(ПодгПар!$AJ$6:$AJ$17,$C32,1),""))</f>
      </c>
      <c r="F33" s="170">
        <f>IF($C32="","",IF(AND($C32&gt;=1,$C32&lt;13),INDEX(ПодгПар!$K$6:$K$17,$C32,1),""))</f>
      </c>
      <c r="G33" s="147"/>
      <c r="H33" s="64"/>
      <c r="I33" s="64"/>
      <c r="J33" s="58"/>
      <c r="K33" s="67"/>
      <c r="L33" s="67"/>
      <c r="M33" s="71"/>
      <c r="N33" s="61"/>
      <c r="O33" s="61"/>
      <c r="P33" s="879">
        <f>IF(P35=0,"",IF(P35=1,M21,IF(P35=2,M45,"Х")))</f>
      </c>
      <c r="Q33" s="757"/>
      <c r="R33" s="757"/>
      <c r="S33" s="62"/>
    </row>
    <row r="34" spans="1:19" s="9" customFormat="1" ht="15" customHeight="1">
      <c r="A34" s="776"/>
      <c r="B34" s="778"/>
      <c r="C34" s="780"/>
      <c r="D34" s="849"/>
      <c r="E34" s="142"/>
      <c r="F34" s="849"/>
      <c r="G34" s="65"/>
      <c r="H34" s="64"/>
      <c r="I34" s="64"/>
      <c r="J34" s="58"/>
      <c r="K34" s="67"/>
      <c r="L34" s="67"/>
      <c r="M34" s="71"/>
      <c r="N34" s="61"/>
      <c r="O34" s="61"/>
      <c r="P34" s="852">
        <f>IF(P35=0,"",IF(P35=1,M22,IF(P35=2,M46,"Х")))</f>
      </c>
      <c r="Q34" s="853"/>
      <c r="R34" s="853"/>
      <c r="S34" s="62"/>
    </row>
    <row r="35" spans="1:19" s="9" customFormat="1" ht="15" customHeight="1" thickBot="1">
      <c r="A35" s="777"/>
      <c r="B35" s="779"/>
      <c r="C35" s="781"/>
      <c r="D35" s="850"/>
      <c r="E35" s="143"/>
      <c r="F35" s="850"/>
      <c r="G35" s="65"/>
      <c r="H35" s="140"/>
      <c r="I35" s="140"/>
      <c r="J35" s="63"/>
      <c r="K35" s="59"/>
      <c r="L35" s="59"/>
      <c r="M35" s="60"/>
      <c r="N35" s="61"/>
      <c r="O35" s="61"/>
      <c r="P35" s="148"/>
      <c r="Q35" s="873"/>
      <c r="R35" s="873"/>
      <c r="S35" s="62"/>
    </row>
    <row r="36" spans="1:19" s="9" customFormat="1" ht="15" customHeight="1">
      <c r="A36" s="758">
        <f>IF($C36="","",IF(AND($C36&gt;=1,$C36&lt;17),INDEX(ПодгПар!$P$6:$P$17,$C36),""))</f>
      </c>
      <c r="B36" s="759">
        <v>9</v>
      </c>
      <c r="C36" s="761"/>
      <c r="D36" s="133">
        <f>IF($C36="","",IF(AND($C36&gt;=1,$C36&lt;13),INDEX(ПодгПар!$AB$6:$AB$17,$C36,1),"Х"))</f>
      </c>
      <c r="E36" s="134">
        <f>IF($C36="","",IF(AND($C36&gt;=1,$C36&lt;13),INDEX(ПодгПар!$W$6:$W$17,$C36,1),""))</f>
      </c>
      <c r="F36" s="146">
        <f>IF($C36="","",IF(AND($C36&gt;=1,$C36&lt;13),INDEX(ПодгПар!$F$6:$F$17,$C36,1),""))</f>
      </c>
      <c r="G36" s="857" t="str">
        <f>IF(G38=0,CONCATENATE("поб.",D36,",",D37),IF(G38=1,D36,IF(G38=2,D38,"Х")))</f>
        <v>поб.,</v>
      </c>
      <c r="H36" s="858"/>
      <c r="I36" s="858"/>
      <c r="J36" s="149"/>
      <c r="K36" s="59"/>
      <c r="L36" s="59"/>
      <c r="M36" s="60"/>
      <c r="N36" s="61"/>
      <c r="O36" s="61"/>
      <c r="P36" s="68"/>
      <c r="Q36" s="61"/>
      <c r="R36" s="61"/>
      <c r="S36" s="62"/>
    </row>
    <row r="37" spans="1:19" s="9" customFormat="1" ht="15" customHeight="1">
      <c r="A37" s="730"/>
      <c r="B37" s="760"/>
      <c r="C37" s="762"/>
      <c r="D37" s="165">
        <f>IF($C36="","",IF(AND($C36&gt;=1,$C36&lt;13),INDEX(ПодгПар!$AL$6:$AL$17,$C36,1),"Х"))</f>
      </c>
      <c r="E37" s="166">
        <f>IF($C36="","",IF(AND($C36&gt;=1,$C36&lt;13),INDEX(ПодгПар!$AJ$6:$AJ$17,$C36,1),""))</f>
      </c>
      <c r="F37" s="177">
        <f>IF($C36="","",IF(AND($C36&gt;=1,$C36&lt;13),INDEX(ПодгПар!$K$6:$K$17,$C36,1),""))</f>
      </c>
      <c r="G37" s="862" t="str">
        <f>IF(G38=0,CONCATENATE(D38,",",D39),IF(G38=1,D37,IF(G38=2,D39,"Х")))</f>
        <v>,</v>
      </c>
      <c r="H37" s="863"/>
      <c r="I37" s="863"/>
      <c r="J37" s="58"/>
      <c r="K37" s="59"/>
      <c r="L37" s="59"/>
      <c r="M37" s="60"/>
      <c r="N37" s="67"/>
      <c r="O37" s="67"/>
      <c r="P37" s="66"/>
      <c r="Q37" s="61"/>
      <c r="R37" s="61"/>
      <c r="S37" s="62"/>
    </row>
    <row r="38" spans="1:19" s="9" customFormat="1" ht="15" customHeight="1">
      <c r="A38" s="729">
        <f>IF($C38="","",IF(AND($C38&gt;=1,$C38&lt;17),INDEX(ПодгПар!$P$6:$P$17,$C38),""))</f>
      </c>
      <c r="B38" s="769">
        <v>10</v>
      </c>
      <c r="C38" s="788"/>
      <c r="D38" s="136">
        <f>IF($C38="","",IF(AND($C38&gt;=1,$C38&lt;13),INDEX(ПодгПар!$AB$6:$AB$17,$C38,1),"Х"))</f>
      </c>
      <c r="E38" s="137">
        <f>IF($C38="","",IF(AND($C38&gt;=1,$C38&lt;13),INDEX(ПодгПар!$W$6:$W$17,$C38,1),""))</f>
      </c>
      <c r="F38" s="138">
        <f>IF($C38="","",IF(AND($C38&gt;=1,$C38&lt;13),INDEX(ПодгПар!$F$6:$F$17,$C38,1),""))</f>
      </c>
      <c r="G38" s="139"/>
      <c r="H38" s="848"/>
      <c r="I38" s="856"/>
      <c r="J38" s="63"/>
      <c r="K38" s="59"/>
      <c r="L38" s="59"/>
      <c r="M38" s="60"/>
      <c r="N38" s="67"/>
      <c r="O38" s="67"/>
      <c r="P38" s="66"/>
      <c r="Q38" s="61"/>
      <c r="R38" s="61"/>
      <c r="S38" s="62"/>
    </row>
    <row r="39" spans="1:19" s="9" customFormat="1" ht="15" customHeight="1" thickBot="1">
      <c r="A39" s="748"/>
      <c r="B39" s="770"/>
      <c r="C39" s="789"/>
      <c r="D39" s="168">
        <f>IF($C38="","",IF(AND($C38&gt;=1,$C38&lt;13),INDEX(ПодгПар!$AL$6:$AL$17,$C38,1),"Х"))</f>
      </c>
      <c r="E39" s="169">
        <f>IF($C38="","",IF(AND($C38&gt;=1,$C38&lt;13),INDEX(ПодгПар!$AJ$6:$AJ$17,$C38,1),""))</f>
      </c>
      <c r="F39" s="170">
        <f>IF($C38="","",IF(AND($C38&gt;=1,$C38&lt;13),INDEX(ПодгПар!$K$6:$K$17,$C38,1),""))</f>
      </c>
      <c r="G39" s="116"/>
      <c r="H39" s="140"/>
      <c r="I39" s="141"/>
      <c r="J39" s="860" t="str">
        <f>IF(J41=0,CONCATENATE("поб.",G36,",",G37),IF(J41=1,G36,IF(J41=2,G42,"Х")))</f>
        <v>поб.поб.,,,</v>
      </c>
      <c r="K39" s="861"/>
      <c r="L39" s="861"/>
      <c r="M39" s="63"/>
      <c r="N39" s="61"/>
      <c r="O39" s="61"/>
      <c r="P39" s="68"/>
      <c r="Q39" s="61"/>
      <c r="R39" s="61"/>
      <c r="S39" s="62"/>
    </row>
    <row r="40" spans="1:19" s="9" customFormat="1" ht="15" customHeight="1">
      <c r="A40" s="776"/>
      <c r="B40" s="778"/>
      <c r="C40" s="780"/>
      <c r="D40" s="849"/>
      <c r="E40" s="142"/>
      <c r="F40" s="849"/>
      <c r="G40" s="65"/>
      <c r="H40" s="140"/>
      <c r="I40" s="141"/>
      <c r="J40" s="875" t="str">
        <f>IF(J41=0,CONCATENATE(G42,",",G43),IF(J41=1,G37,IF(J41=2,G43,"Х")))</f>
        <v>,</v>
      </c>
      <c r="K40" s="876"/>
      <c r="L40" s="876"/>
      <c r="M40" s="63"/>
      <c r="N40" s="61"/>
      <c r="O40" s="61"/>
      <c r="P40" s="68"/>
      <c r="Q40" s="61"/>
      <c r="R40" s="61"/>
      <c r="S40" s="62"/>
    </row>
    <row r="41" spans="1:19" s="9" customFormat="1" ht="15" customHeight="1" thickBot="1">
      <c r="A41" s="777"/>
      <c r="B41" s="779"/>
      <c r="C41" s="781"/>
      <c r="D41" s="850"/>
      <c r="E41" s="143"/>
      <c r="F41" s="850"/>
      <c r="G41" s="65"/>
      <c r="H41" s="64"/>
      <c r="I41" s="144"/>
      <c r="J41" s="145"/>
      <c r="K41" s="873"/>
      <c r="L41" s="873"/>
      <c r="M41" s="66"/>
      <c r="N41" s="61"/>
      <c r="O41" s="61"/>
      <c r="P41" s="68"/>
      <c r="Q41" s="61"/>
      <c r="R41" s="61"/>
      <c r="S41" s="62"/>
    </row>
    <row r="42" spans="1:19" s="9" customFormat="1" ht="15" customHeight="1">
      <c r="A42" s="758">
        <f>IF($C42="","",IF(AND($C42&gt;=1,$C42&lt;17),INDEX(ПодгПар!$P$6:$P$17,$C42),""))</f>
      </c>
      <c r="B42" s="759">
        <v>11</v>
      </c>
      <c r="C42" s="842" t="s">
        <v>172</v>
      </c>
      <c r="D42" s="407" t="str">
        <f>IF($C42="","",IF(AND($C42&gt;=1,$C42&lt;13),INDEX(ПодгПар!$AB$6:$AB$17,$C42,1),"Х"))</f>
        <v>Х</v>
      </c>
      <c r="E42" s="408">
        <f>IF($C42="","",IF(AND($C42&gt;=1,$C42&lt;13),INDEX(ПодгПар!$W$6:$W$17,$C42,1),""))</f>
      </c>
      <c r="F42" s="409">
        <f>IF($C42="","",IF(AND($C42&gt;=1,$C42&lt;13),INDEX(ПодгПар!$F$6:$F$17,$C42,1),""))</f>
      </c>
      <c r="G42" s="857">
        <f>IF(G44=0,CONCATENATE("поб.",D42,",",D43),IF(G44=1,D42,IF(G44=2,D44,"Х")))</f>
      </c>
      <c r="H42" s="858"/>
      <c r="I42" s="859"/>
      <c r="J42" s="58"/>
      <c r="K42" s="67"/>
      <c r="L42" s="67"/>
      <c r="M42" s="66"/>
      <c r="N42" s="61"/>
      <c r="O42" s="61"/>
      <c r="P42" s="68"/>
      <c r="Q42" s="61"/>
      <c r="R42" s="61"/>
      <c r="S42" s="62"/>
    </row>
    <row r="43" spans="1:19" s="9" customFormat="1" ht="15" customHeight="1">
      <c r="A43" s="730"/>
      <c r="B43" s="760"/>
      <c r="C43" s="843"/>
      <c r="D43" s="410" t="str">
        <f>IF($C42="","",IF(AND($C42&gt;=1,$C42&lt;13),INDEX(ПодгПар!$AL$6:$AL$17,$C42,1),"Х"))</f>
        <v>Х</v>
      </c>
      <c r="E43" s="411">
        <f>IF($C42="","",IF(AND($C42&gt;=1,$C42&lt;13),INDEX(ПодгПар!$AJ$6:$AJ$17,$C42,1),""))</f>
      </c>
      <c r="F43" s="412">
        <f>IF($C42="","",IF(AND($C42&gt;=1,$C42&lt;13),INDEX(ПодгПар!$K$6:$K$17,$C42,1),""))</f>
      </c>
      <c r="G43" s="862">
        <f>IF(G44=0,CONCATENATE(D44,",",D45),IF(G44=1,D43,IF(G44=2,D45,"Х")))</f>
      </c>
      <c r="H43" s="863"/>
      <c r="I43" s="864"/>
      <c r="J43" s="58"/>
      <c r="K43" s="59"/>
      <c r="L43" s="59"/>
      <c r="M43" s="68"/>
      <c r="N43" s="61"/>
      <c r="O43" s="61"/>
      <c r="P43" s="68"/>
      <c r="Q43" s="61"/>
      <c r="R43" s="61"/>
      <c r="S43" s="72"/>
    </row>
    <row r="44" spans="1:19" s="9" customFormat="1" ht="15" customHeight="1">
      <c r="A44" s="729" t="str">
        <f>IF($C44="","3 или 4",IF(AND($C44&gt;=1,$C44&lt;17),INDEX(ПодгПар!$P$6:$P$17,$C44),""))</f>
        <v>3 или 4</v>
      </c>
      <c r="B44" s="769">
        <v>12</v>
      </c>
      <c r="C44" s="771"/>
      <c r="D44" s="136">
        <f>IF($C44="","",IF(AND($C44&gt;=1,$C44&lt;13),INDEX(ПодгПар!$AB$6:$AB$17,$C44,1),"Х"))</f>
      </c>
      <c r="E44" s="137">
        <f>IF($C44="","",IF(AND($C44&gt;=1,$C44&lt;13),INDEX(ПодгПар!$W$6:$W$17,$C44,1),""))</f>
      </c>
      <c r="F44" s="138">
        <f>IF($C44="","",IF(AND($C44&gt;=1,$C44&lt;13),INDEX(ПодгПар!$F$6:$F$17,$C44,1),""))</f>
      </c>
      <c r="G44" s="413">
        <v>2</v>
      </c>
      <c r="H44" s="888"/>
      <c r="I44" s="888"/>
      <c r="J44" s="63"/>
      <c r="K44" s="59"/>
      <c r="L44" s="59"/>
      <c r="M44" s="68"/>
      <c r="N44" s="61"/>
      <c r="O44" s="61"/>
      <c r="P44" s="68"/>
      <c r="Q44" s="61"/>
      <c r="R44" s="61"/>
      <c r="S44" s="73"/>
    </row>
    <row r="45" spans="1:19" s="9" customFormat="1" ht="15" customHeight="1" thickBot="1">
      <c r="A45" s="748"/>
      <c r="B45" s="770"/>
      <c r="C45" s="772"/>
      <c r="D45" s="168">
        <f>IF($C44="","",IF(AND($C44&gt;=1,$C44&lt;13),INDEX(ПодгПар!$AL$6:$AL$17,$C44,1),"Х"))</f>
      </c>
      <c r="E45" s="169">
        <f>IF($C44="","",IF(AND($C44&gt;=1,$C44&lt;13),INDEX(ПодгПар!$AJ$6:$AJ$17,$C44,1),""))</f>
      </c>
      <c r="F45" s="170">
        <f>IF($C44="","",IF(AND($C44&gt;=1,$C44&lt;13),INDEX(ПодгПар!$K$6:$K$17,$C44,1),""))</f>
      </c>
      <c r="G45" s="147"/>
      <c r="H45" s="64"/>
      <c r="I45" s="64"/>
      <c r="J45" s="58"/>
      <c r="K45" s="59"/>
      <c r="L45" s="59"/>
      <c r="M45" s="879" t="str">
        <f>IF(M47=0,CONCATENATE("поб.",J39,",",J40),IF(M47=1,J39,IF(M47=2,J51,"Х")))</f>
        <v>поб.поб.поб.,,,,,</v>
      </c>
      <c r="N45" s="757"/>
      <c r="O45" s="757"/>
      <c r="P45" s="68"/>
      <c r="Q45" s="61"/>
      <c r="R45" s="61"/>
      <c r="S45" s="73"/>
    </row>
    <row r="46" spans="1:19" s="9" customFormat="1" ht="15" customHeight="1">
      <c r="A46" s="776"/>
      <c r="B46" s="778"/>
      <c r="C46" s="780"/>
      <c r="D46" s="849"/>
      <c r="E46" s="142"/>
      <c r="F46" s="849"/>
      <c r="G46" s="65"/>
      <c r="H46" s="64"/>
      <c r="I46" s="64"/>
      <c r="J46" s="58"/>
      <c r="K46" s="59"/>
      <c r="L46" s="59"/>
      <c r="M46" s="877" t="str">
        <f>IF(M47=0,CONCATENATE(J51,",",J52),IF(M47=1,J40,IF(M47=2,J52,"Х")))</f>
        <v>поб.поб.,,,,ПАНЬКОВА,ТАРАНОВА</v>
      </c>
      <c r="N46" s="878"/>
      <c r="O46" s="878"/>
      <c r="P46" s="68"/>
      <c r="Q46" s="67"/>
      <c r="R46" s="67"/>
      <c r="S46" s="73"/>
    </row>
    <row r="47" spans="1:19" s="9" customFormat="1" ht="15" customHeight="1" thickBot="1">
      <c r="A47" s="777"/>
      <c r="B47" s="779"/>
      <c r="C47" s="781"/>
      <c r="D47" s="850"/>
      <c r="E47" s="143"/>
      <c r="F47" s="850"/>
      <c r="G47" s="65"/>
      <c r="H47" s="140"/>
      <c r="I47" s="140"/>
      <c r="J47" s="63"/>
      <c r="K47" s="59"/>
      <c r="L47" s="59"/>
      <c r="M47" s="148"/>
      <c r="N47" s="873"/>
      <c r="O47" s="873"/>
      <c r="P47" s="71"/>
      <c r="Q47" s="67"/>
      <c r="R47" s="67"/>
      <c r="S47" s="72"/>
    </row>
    <row r="48" spans="1:19" s="9" customFormat="1" ht="15" customHeight="1">
      <c r="A48" s="758">
        <f>IF($C48="","",IF(AND($C48&gt;=1,$C48&lt;17),INDEX(ПодгПар!$P$6:$P$17,$C48),""))</f>
      </c>
      <c r="B48" s="759">
        <v>13</v>
      </c>
      <c r="C48" s="761"/>
      <c r="D48" s="133">
        <f>IF($C48="","",IF(AND($C48&gt;=1,$C48&lt;13),INDEX(ПодгПар!$AB$6:$AB$17,$C48,1),"Х"))</f>
      </c>
      <c r="E48" s="134">
        <f>IF($C48="","",IF(AND($C48&gt;=1,$C48&lt;13),INDEX(ПодгПар!$W$6:$W$17,$C48,1),""))</f>
      </c>
      <c r="F48" s="135">
        <f>IF($C48="","",IF(AND($C48&gt;=1,$C48&lt;13),INDEX(ПодгПар!$F$6:$F$17,$C48,1),""))</f>
      </c>
      <c r="G48" s="857" t="str">
        <f>IF(G50=0,CONCATENATE("поб.",D48,",",D49),IF(G50=1,D48,IF(G50=2,D50,"Х")))</f>
        <v>поб.,</v>
      </c>
      <c r="H48" s="858"/>
      <c r="I48" s="858"/>
      <c r="J48" s="149"/>
      <c r="K48" s="59"/>
      <c r="L48" s="59"/>
      <c r="M48" s="68"/>
      <c r="N48" s="61"/>
      <c r="O48" s="61"/>
      <c r="P48" s="60"/>
      <c r="Q48" s="61"/>
      <c r="R48" s="61"/>
      <c r="S48" s="62"/>
    </row>
    <row r="49" spans="1:19" s="9" customFormat="1" ht="15" customHeight="1">
      <c r="A49" s="730"/>
      <c r="B49" s="760"/>
      <c r="C49" s="762"/>
      <c r="D49" s="165">
        <f>IF($C48="","",IF(AND($C48&gt;=1,$C48&lt;13),INDEX(ПодгПар!$AL$6:$AL$17,$C48,1),"Х"))</f>
      </c>
      <c r="E49" s="166">
        <f>IF($C48="","",IF(AND($C48&gt;=1,$C48&lt;13),INDEX(ПодгПар!$AJ$6:$AJ$17,$C48,1),""))</f>
      </c>
      <c r="F49" s="167">
        <f>IF($C48="","",IF(AND($C48&gt;=1,$C48&lt;13),INDEX(ПодгПар!$K$6:$K$17,$C48,1),""))</f>
      </c>
      <c r="G49" s="862" t="str">
        <f>IF(G50=0,CONCATENATE(D50,",",D51),IF(G50=1,D49,IF(G50=2,D51,"Х")))</f>
        <v>,</v>
      </c>
      <c r="H49" s="863"/>
      <c r="I49" s="863"/>
      <c r="J49" s="58"/>
      <c r="K49" s="67"/>
      <c r="L49" s="67"/>
      <c r="M49" s="66"/>
      <c r="N49" s="61"/>
      <c r="O49" s="61"/>
      <c r="P49" s="60"/>
      <c r="Q49" s="61"/>
      <c r="R49" s="61"/>
      <c r="S49" s="62"/>
    </row>
    <row r="50" spans="1:19" s="9" customFormat="1" ht="15" customHeight="1">
      <c r="A50" s="729">
        <f>IF($C50="","",IF(AND($C50&gt;=1,$C50&lt;17),INDEX(ПодгПар!$P$6:$P$17,$C50),""))</f>
      </c>
      <c r="B50" s="769">
        <v>14</v>
      </c>
      <c r="C50" s="788"/>
      <c r="D50" s="136">
        <f>IF($C50="","",IF(AND($C50&gt;=1,$C50&lt;13),INDEX(ПодгПар!$AB$6:$AB$17,$C50,1),"Х"))</f>
      </c>
      <c r="E50" s="137">
        <f>IF($C50="","",IF(AND($C50&gt;=1,$C50&lt;13),INDEX(ПодгПар!$W$6:$W$17,$C50,1),""))</f>
      </c>
      <c r="F50" s="138">
        <f>IF($C50="","",IF(AND($C50&gt;=1,$C50&lt;13),INDEX(ПодгПар!$F$6:$F$17,$C50,1),""))</f>
      </c>
      <c r="G50" s="139"/>
      <c r="H50" s="848"/>
      <c r="I50" s="856"/>
      <c r="J50" s="63"/>
      <c r="K50" s="67"/>
      <c r="L50" s="67"/>
      <c r="M50" s="66"/>
      <c r="N50" s="61"/>
      <c r="O50" s="61"/>
      <c r="P50" s="60"/>
      <c r="Q50" s="61"/>
      <c r="R50" s="61"/>
      <c r="S50" s="62"/>
    </row>
    <row r="51" spans="1:19" s="9" customFormat="1" ht="15" customHeight="1" thickBot="1">
      <c r="A51" s="748"/>
      <c r="B51" s="770"/>
      <c r="C51" s="789"/>
      <c r="D51" s="168">
        <f>IF($C50="","",IF(AND($C50&gt;=1,$C50&lt;13),INDEX(ПодгПар!$AL$6:$AL$17,$C50,1),"Х"))</f>
      </c>
      <c r="E51" s="169">
        <f>IF($C50="","",IF(AND($C50&gt;=1,$C50&lt;13),INDEX(ПодгПар!$AJ$6:$AJ$17,$C50,1),""))</f>
      </c>
      <c r="F51" s="170">
        <f>IF($C50="","",IF(AND($C50&gt;=1,$C50&lt;13),INDEX(ПодгПар!$K$6:$K$17,$C50,1),""))</f>
      </c>
      <c r="G51" s="116"/>
      <c r="H51" s="140"/>
      <c r="I51" s="141"/>
      <c r="J51" s="860" t="str">
        <f>IF(J53=0,CONCATENATE("поб.",G48,",",G49),IF(J53=1,G48,IF(J53=2,G54,"Х")))</f>
        <v>поб.поб.,,,</v>
      </c>
      <c r="K51" s="861"/>
      <c r="L51" s="861"/>
      <c r="M51" s="70"/>
      <c r="N51" s="61"/>
      <c r="O51" s="61"/>
      <c r="P51" s="60"/>
      <c r="Q51" s="61"/>
      <c r="R51" s="61"/>
      <c r="S51" s="62"/>
    </row>
    <row r="52" spans="1:19" s="9" customFormat="1" ht="15" customHeight="1">
      <c r="A52" s="776"/>
      <c r="B52" s="778"/>
      <c r="C52" s="780"/>
      <c r="D52" s="849"/>
      <c r="E52" s="142"/>
      <c r="F52" s="849"/>
      <c r="G52" s="65"/>
      <c r="H52" s="140"/>
      <c r="I52" s="141"/>
      <c r="J52" s="875" t="str">
        <f>IF(J53=0,CONCATENATE(G54,",",G55),IF(J53=1,G49,IF(J53=2,G55,"Х")))</f>
        <v>ПАНЬКОВА,ТАРАНОВА</v>
      </c>
      <c r="K52" s="876"/>
      <c r="L52" s="876"/>
      <c r="M52" s="70"/>
      <c r="N52" s="61"/>
      <c r="O52" s="61"/>
      <c r="P52" s="60"/>
      <c r="Q52" s="61"/>
      <c r="R52" s="61"/>
      <c r="S52" s="62"/>
    </row>
    <row r="53" spans="1:19" s="9" customFormat="1" ht="15" customHeight="1" thickBot="1">
      <c r="A53" s="777"/>
      <c r="B53" s="779"/>
      <c r="C53" s="781"/>
      <c r="D53" s="850"/>
      <c r="E53" s="143"/>
      <c r="F53" s="850"/>
      <c r="G53" s="65"/>
      <c r="H53" s="64"/>
      <c r="I53" s="144"/>
      <c r="J53" s="145"/>
      <c r="K53" s="872"/>
      <c r="L53" s="872"/>
      <c r="M53" s="71"/>
      <c r="N53" s="67"/>
      <c r="O53" s="67"/>
      <c r="P53" s="71"/>
      <c r="Q53" s="61"/>
      <c r="R53" s="61"/>
      <c r="S53" s="62"/>
    </row>
    <row r="54" spans="1:19" s="9" customFormat="1" ht="15" customHeight="1">
      <c r="A54" s="758">
        <f>IF($C54="","",IF(AND($C54&gt;=1,$C54&lt;17),INDEX(ПодгПар!$P$6:$P$17,$C54),""))</f>
      </c>
      <c r="B54" s="759">
        <v>15</v>
      </c>
      <c r="C54" s="842" t="s">
        <v>172</v>
      </c>
      <c r="D54" s="407" t="str">
        <f>IF($C54="","",IF(AND($C54&gt;=1,$C54&lt;13),INDEX(ПодгПар!$AB$6:$AB$17,$C54,1),"Х"))</f>
        <v>Х</v>
      </c>
      <c r="E54" s="408">
        <f>IF($C54="","",IF(AND($C54&gt;=1,$C54&lt;13),INDEX(ПодгПар!$W$6:$W$17,$C54,1),""))</f>
      </c>
      <c r="F54" s="409">
        <f>IF($C54="","",IF(AND($C54&gt;=1,$C54&lt;13),INDEX(ПодгПар!$F$6:$F$17,$C54,1),""))</f>
      </c>
      <c r="G54" s="857" t="str">
        <f>IF(G56=0,CONCATENATE("поб.",D54,",",D55),IF(G56=1,D54,IF(G56=2,D56,"Х")))</f>
        <v>ПАНЬКОВА</v>
      </c>
      <c r="H54" s="858"/>
      <c r="I54" s="859"/>
      <c r="J54" s="64"/>
      <c r="K54" s="59"/>
      <c r="L54" s="59"/>
      <c r="M54" s="71"/>
      <c r="N54" s="67"/>
      <c r="O54" s="67"/>
      <c r="P54" s="71"/>
      <c r="Q54" s="61"/>
      <c r="R54" s="61"/>
      <c r="S54" s="62"/>
    </row>
    <row r="55" spans="1:19" s="9" customFormat="1" ht="15" customHeight="1">
      <c r="A55" s="730"/>
      <c r="B55" s="760"/>
      <c r="C55" s="843"/>
      <c r="D55" s="410" t="str">
        <f>IF($C54="","",IF(AND($C54&gt;=1,$C54&lt;13),INDEX(ПодгПар!$AL$6:$AL$17,$C54,1),"Х"))</f>
        <v>Х</v>
      </c>
      <c r="E55" s="411">
        <f>IF($C54="","",IF(AND($C54&gt;=1,$C54&lt;13),INDEX(ПодгПар!$AJ$6:$AJ$17,$C54,1),""))</f>
      </c>
      <c r="F55" s="412">
        <f>IF($C54="","",IF(AND($C54&gt;=1,$C54&lt;13),INDEX(ПодгПар!$K$6:$K$17,$C54,1),""))</f>
      </c>
      <c r="G55" s="862" t="str">
        <f>IF(G56=0,CONCATENATE(D56,",",D57),IF(G56=1,D55,IF(G56=2,D57,"Х")))</f>
        <v>ТАРАНОВА</v>
      </c>
      <c r="H55" s="863"/>
      <c r="I55" s="864"/>
      <c r="J55" s="58"/>
      <c r="K55" s="59"/>
      <c r="L55" s="59"/>
      <c r="M55" s="60"/>
      <c r="N55" s="61"/>
      <c r="O55" s="61"/>
      <c r="P55" s="60"/>
      <c r="Q55" s="61"/>
      <c r="R55" s="61"/>
      <c r="S55" s="62"/>
    </row>
    <row r="56" spans="1:19" s="9" customFormat="1" ht="15" customHeight="1">
      <c r="A56" s="729" t="str">
        <f>IF($C56="","2",IF(AND($C56&gt;=1,$C56&lt;17),INDEX(ПодгПар!$P$6:$P$17,$C56),""))</f>
        <v>2 </v>
      </c>
      <c r="B56" s="769">
        <v>16</v>
      </c>
      <c r="C56" s="771">
        <v>2</v>
      </c>
      <c r="D56" s="136" t="str">
        <f>IF($C56="","",IF(AND($C56&gt;=1,$C56&lt;13),INDEX(ПодгПар!$AB$6:$AB$17,$C56,1),"Х"))</f>
        <v>ПАНЬКОВА</v>
      </c>
      <c r="E56" s="137" t="str">
        <f>IF($C56="","",IF(AND($C56&gt;=1,$C56&lt;13),INDEX(ПодгПар!$W$6:$W$17,$C56,1),""))</f>
        <v>Я.О.</v>
      </c>
      <c r="F56" s="138" t="str">
        <f>IF($C56="","",IF(AND($C56&gt;=1,$C56&lt;13),INDEX(ПодгПар!$F$6:$F$17,$C56,1),""))</f>
        <v>Екатеринбург</v>
      </c>
      <c r="G56" s="413">
        <v>2</v>
      </c>
      <c r="H56" s="888"/>
      <c r="I56" s="888"/>
      <c r="J56" s="74"/>
      <c r="K56" s="59"/>
      <c r="L56" s="59"/>
      <c r="M56" s="60"/>
      <c r="N56" s="61"/>
      <c r="O56" s="61"/>
      <c r="P56" s="60"/>
      <c r="Q56" s="61"/>
      <c r="R56" s="61"/>
      <c r="S56" s="62"/>
    </row>
    <row r="57" spans="1:19" s="9" customFormat="1" ht="15" customHeight="1" thickBot="1">
      <c r="A57" s="748"/>
      <c r="B57" s="770"/>
      <c r="C57" s="772"/>
      <c r="D57" s="168" t="str">
        <f>IF($C56="","",IF(AND($C56&gt;=1,$C56&lt;13),INDEX(ПодгПар!$AL$6:$AL$17,$C56,1),"Х"))</f>
        <v>ТАРАНОВА</v>
      </c>
      <c r="E57" s="169" t="str">
        <f>IF($C56="","",IF(AND($C56&gt;=1,$C56&lt;13),INDEX(ПодгПар!$AJ$6:$AJ$17,$C56,1),""))</f>
        <v>В.А.</v>
      </c>
      <c r="F57" s="170" t="str">
        <f>IF($C56="","",IF(AND($C56&gt;=1,$C56&lt;13),INDEX(ПодгПар!$K$6:$K$17,$C56,1),""))</f>
        <v>Екатеринбург</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1" t="s">
        <v>14</v>
      </c>
      <c r="N58" s="882"/>
      <c r="O58" s="882"/>
      <c r="P58" s="882"/>
      <c r="Q58" s="883"/>
      <c r="R58" s="78" t="s">
        <v>22</v>
      </c>
    </row>
    <row r="59" spans="3:18" ht="12.75">
      <c r="C59" s="615"/>
      <c r="D59" s="757" t="str">
        <f>IF(ПолуфиналНеявка(N23),"Х",IF(M23=0,CONCATENATE("пр.",J15,",",J16),IF(M23=1,J27,IF(M23=2,J15,"Х"))))</f>
        <v>пр.поб.МАТВЕЕВА,ХАБАРОВА,поб.,,,</v>
      </c>
      <c r="E59" s="757"/>
      <c r="F59" s="757"/>
      <c r="G59" s="65"/>
      <c r="H59" s="64"/>
      <c r="I59" s="64"/>
      <c r="J59" s="64"/>
      <c r="K59" s="96"/>
      <c r="L59" s="729">
        <f>IF(M59="","",1)</f>
        <v>1</v>
      </c>
      <c r="M59" s="869" t="str">
        <f>IF(OR(ПодгПар!L6=0,ПодгПар!P6="ОЖ"),"",ПодгПар!AB6)</f>
        <v>МАТВЕЕВА</v>
      </c>
      <c r="N59" s="870"/>
      <c r="O59" s="870"/>
      <c r="P59" s="870"/>
      <c r="Q59" s="871"/>
      <c r="R59" s="749">
        <f>IF(OR(ПодгПар!L6=0,ПодгПар!P6="ОЖ"),"",ПодгПар!L6)</f>
        <v>112</v>
      </c>
    </row>
    <row r="60" spans="2:18" ht="12.75">
      <c r="B60" s="79"/>
      <c r="C60" s="616"/>
      <c r="D60" s="865" t="str">
        <f>IF(ПолуфиналНеявка(N23),"Х",IF(M23=0,CONCATENATE(J27,",",J28),IF(M23=1,J28,IF(M23=2,J16,"Х"))))</f>
        <v>поб.,,поб.,,,</v>
      </c>
      <c r="E60" s="865"/>
      <c r="F60" s="865"/>
      <c r="G60" s="81"/>
      <c r="H60" s="756"/>
      <c r="I60" s="756"/>
      <c r="J60" s="82"/>
      <c r="K60" s="83"/>
      <c r="L60" s="730"/>
      <c r="M60" s="866" t="str">
        <f>IF(OR(ПодгПар!L6=0,ПодгПар!P6="ОЖ"),"",ПодгПар!AL6)</f>
        <v>ХАБАРОВА</v>
      </c>
      <c r="N60" s="867"/>
      <c r="O60" s="867"/>
      <c r="P60" s="867"/>
      <c r="Q60" s="868"/>
      <c r="R60" s="750"/>
    </row>
    <row r="61" spans="2:18" ht="12.75">
      <c r="B61" s="84"/>
      <c r="C61" s="617"/>
      <c r="D61" s="86"/>
      <c r="E61" s="86"/>
      <c r="F61" s="86"/>
      <c r="G61" s="874">
        <f>IF(G63=0,"",IF(G63=1,D59,IF(G63=2,D63,"Х")))</f>
      </c>
      <c r="H61" s="818"/>
      <c r="I61" s="818"/>
      <c r="J61" s="87"/>
      <c r="K61" s="88"/>
      <c r="L61" s="729">
        <f>IF(M61="","",2)</f>
        <v>2</v>
      </c>
      <c r="M61" s="869" t="str">
        <f>IF(OR(ПодгПар!L7=0,ПодгПар!P7="ОЖ"),"",ПодгПар!AB7)</f>
        <v>ПАНЬКОВА</v>
      </c>
      <c r="N61" s="870"/>
      <c r="O61" s="870"/>
      <c r="P61" s="870"/>
      <c r="Q61" s="871"/>
      <c r="R61" s="749">
        <f>IF(OR(ПодгПар!L7=0,ПодгПар!P7="ОЖ"),"",ПодгПар!L7)</f>
        <v>59</v>
      </c>
    </row>
    <row r="62" spans="3:18" ht="12.75">
      <c r="C62" s="618"/>
      <c r="D62" s="89"/>
      <c r="E62" s="89"/>
      <c r="F62" s="89"/>
      <c r="G62" s="852">
        <f>IF(G63=0,"",IF(G63=1,D60,IF(G63=2,D64,"Х")))</f>
      </c>
      <c r="H62" s="853"/>
      <c r="I62" s="853"/>
      <c r="J62" s="87"/>
      <c r="K62" s="90" t="s">
        <v>15</v>
      </c>
      <c r="L62" s="730"/>
      <c r="M62" s="866" t="str">
        <f>IF(OR(ПодгПар!L7=0,ПодгПар!P7="ОЖ"),"",ПодгПар!AL7)</f>
        <v>ТАРАНОВА</v>
      </c>
      <c r="N62" s="867"/>
      <c r="O62" s="867"/>
      <c r="P62" s="867"/>
      <c r="Q62" s="868"/>
      <c r="R62" s="750"/>
    </row>
    <row r="63" spans="3:18" ht="12.75">
      <c r="C63" s="615"/>
      <c r="D63" s="757" t="str">
        <f>IF(ПолуфиналНеявка(N47),"Х",IF(M47=0,CONCATENATE("пр.",J39,",",J40),IF(M47=1,J51,IF(M47=2,J39,"Х"))))</f>
        <v>пр.поб.поб.,,,,,</v>
      </c>
      <c r="E63" s="757"/>
      <c r="F63" s="757"/>
      <c r="G63" s="150"/>
      <c r="H63" s="851"/>
      <c r="I63" s="851"/>
      <c r="J63" s="91"/>
      <c r="K63" s="90"/>
      <c r="L63" s="729">
        <f>IF(M63="","",3)</f>
      </c>
      <c r="M63" s="869">
        <f>IF(OR(ПодгПар!L8=0,ПодгПар!P8="ОЖ",ПодгПар!$A$50&lt;4),"",ПодгПар!AB8)</f>
      </c>
      <c r="N63" s="870"/>
      <c r="O63" s="870"/>
      <c r="P63" s="870"/>
      <c r="Q63" s="871"/>
      <c r="R63" s="749">
        <f>IF(OR(ПодгПар!L8=0,ПодгПар!P8="ОЖ",ПодгПар!$A$50&lt;4),"",ПодгПар!L8)</f>
      </c>
    </row>
    <row r="64" spans="1:18" ht="12.75">
      <c r="A64" s="92"/>
      <c r="C64" s="615"/>
      <c r="D64" s="865" t="str">
        <f>IF(ПолуфиналНеявка(N47),"Х",IF(M47=0,CONCATENATE(J51,",",J52),IF(M47=1,J52,IF(M47=2,J40,"Х"))))</f>
        <v>поб.поб.,,,,ПАНЬКОВА,ТАРАНОВА</v>
      </c>
      <c r="E64" s="865"/>
      <c r="F64" s="865"/>
      <c r="G64" s="93"/>
      <c r="H64" s="94"/>
      <c r="I64" s="95"/>
      <c r="J64" s="95"/>
      <c r="K64" s="96"/>
      <c r="L64" s="730"/>
      <c r="M64" s="866">
        <f>IF(OR(ПодгПар!L8=0,ПодгПар!P8="ОЖ",ПодгПар!$A$50&lt;4),"",ПодгПар!AL8)</f>
      </c>
      <c r="N64" s="867"/>
      <c r="O64" s="867"/>
      <c r="P64" s="867"/>
      <c r="Q64" s="868"/>
      <c r="R64" s="750"/>
    </row>
    <row r="65" spans="1:18" ht="12.75">
      <c r="A65" s="92"/>
      <c r="C65" s="615"/>
      <c r="D65" s="13"/>
      <c r="E65" s="13"/>
      <c r="F65" s="13"/>
      <c r="G65" s="97"/>
      <c r="H65" s="94"/>
      <c r="I65" s="95"/>
      <c r="J65" s="95"/>
      <c r="K65" s="96"/>
      <c r="L65" s="729">
        <f>IF(M65="","",4)</f>
      </c>
      <c r="M65" s="869">
        <f>IF(OR(ПодгПар!L9=0,ПодгПар!P9="ОЖ",ПодгПар!$A$50&lt;4),"",ПодгПар!AB9)</f>
      </c>
      <c r="N65" s="870"/>
      <c r="O65" s="870"/>
      <c r="P65" s="870"/>
      <c r="Q65" s="871"/>
      <c r="R65" s="749">
        <f>IF(OR(ПодгПар!L9=0,ПодгПар!P9="ОЖ",ПодгПар!$A$50&lt;4),"",ПодгПар!L9)</f>
      </c>
    </row>
    <row r="66" spans="4:18" ht="13.5" thickBot="1">
      <c r="D66" s="98"/>
      <c r="E66" s="98"/>
      <c r="F66" s="98"/>
      <c r="G66" s="99"/>
      <c r="H66" s="59"/>
      <c r="I66" s="100"/>
      <c r="J66" s="100"/>
      <c r="K66" s="88"/>
      <c r="L66" s="748"/>
      <c r="M66" s="885">
        <f>IF(OR(ПодгПар!L9=0,ПодгПар!P9="ОЖ",ПодгПар!$A$50&lt;4),"",ПодгПар!AL9)</f>
      </c>
      <c r="N66" s="886"/>
      <c r="O66" s="886"/>
      <c r="P66" s="886"/>
      <c r="Q66" s="887"/>
      <c r="R66" s="754"/>
    </row>
    <row r="67" spans="1:18" ht="9.75" customHeight="1">
      <c r="A67" s="92" t="s">
        <v>16</v>
      </c>
      <c r="C67" s="8"/>
      <c r="D67" s="102"/>
      <c r="E67" s="102"/>
      <c r="F67" s="817" t="str">
        <f>IF(Установка!$C$11="","",UPPER(Установка!$C$11))</f>
        <v>ЗЕЛИНГЕР М.М.</v>
      </c>
      <c r="G67" s="817"/>
      <c r="H67" s="817"/>
      <c r="I67" s="817"/>
      <c r="J67" s="103"/>
      <c r="K67" s="88"/>
      <c r="L67" s="96"/>
      <c r="M67" s="151"/>
      <c r="N67" s="151"/>
      <c r="O67" s="151"/>
      <c r="P67" s="151"/>
      <c r="Q67" s="89"/>
      <c r="R67" s="151"/>
    </row>
    <row r="68" spans="3:11" ht="9.75" customHeight="1">
      <c r="C68" s="8"/>
      <c r="D68" s="104" t="s">
        <v>17</v>
      </c>
      <c r="E68" s="104"/>
      <c r="F68" s="827" t="s">
        <v>18</v>
      </c>
      <c r="G68" s="827"/>
      <c r="H68" s="827"/>
      <c r="I68" s="827"/>
      <c r="J68" s="105"/>
      <c r="K68" s="96"/>
    </row>
    <row r="69" spans="3:10" ht="9.75" customHeight="1">
      <c r="C69" s="8"/>
      <c r="D69" s="104"/>
      <c r="E69" s="104"/>
      <c r="F69" s="828"/>
      <c r="G69" s="828"/>
      <c r="H69" s="828"/>
      <c r="I69" s="828"/>
      <c r="J69" s="107"/>
    </row>
    <row r="70" spans="1:10" ht="12.75">
      <c r="A70" s="92" t="s">
        <v>19</v>
      </c>
      <c r="C70" s="8"/>
      <c r="D70" s="102"/>
      <c r="E70" s="102"/>
      <c r="F70" s="817" t="str">
        <f>IF(Установка!$C$12="","",UPPER(Установка!$C$12))</f>
        <v>ГУТОВ К.Г.</v>
      </c>
      <c r="G70" s="817"/>
      <c r="H70" s="817"/>
      <c r="I70" s="817"/>
      <c r="J70" s="103"/>
    </row>
    <row r="71" spans="3:10" ht="12.75">
      <c r="C71" s="8"/>
      <c r="D71" s="104" t="s">
        <v>17</v>
      </c>
      <c r="E71" s="104"/>
      <c r="F71" s="825" t="s">
        <v>18</v>
      </c>
      <c r="G71" s="825"/>
      <c r="H71" s="825"/>
      <c r="I71" s="825"/>
      <c r="J71" s="105"/>
    </row>
  </sheetData>
  <sheetProtection sheet="1" objects="1" scenarios="1" selectLockedCells="1"/>
  <mergeCells count="179">
    <mergeCell ref="B1:Q1"/>
    <mergeCell ref="B2:Q2"/>
    <mergeCell ref="B3:Q3"/>
    <mergeCell ref="B4:Q4"/>
    <mergeCell ref="F70:I70"/>
    <mergeCell ref="F71:I71"/>
    <mergeCell ref="H60:I60"/>
    <mergeCell ref="H44:I44"/>
    <mergeCell ref="F67:I67"/>
    <mergeCell ref="F68:I68"/>
    <mergeCell ref="H63:I63"/>
    <mergeCell ref="G62:I62"/>
    <mergeCell ref="C56:C57"/>
    <mergeCell ref="C44:C45"/>
    <mergeCell ref="C46:C47"/>
    <mergeCell ref="C50:C51"/>
    <mergeCell ref="C52:C53"/>
    <mergeCell ref="C54:C55"/>
    <mergeCell ref="C48:C49"/>
    <mergeCell ref="G49:I49"/>
    <mergeCell ref="C34:C35"/>
    <mergeCell ref="C38:C39"/>
    <mergeCell ref="C26:C27"/>
    <mergeCell ref="C40:C41"/>
    <mergeCell ref="C36:C37"/>
    <mergeCell ref="C30:C31"/>
    <mergeCell ref="C32:C33"/>
    <mergeCell ref="C42:C43"/>
    <mergeCell ref="A9:A11"/>
    <mergeCell ref="B9:B11"/>
    <mergeCell ref="A14:A15"/>
    <mergeCell ref="C14:C15"/>
    <mergeCell ref="C12:C13"/>
    <mergeCell ref="B14:B15"/>
    <mergeCell ref="A12:A13"/>
    <mergeCell ref="B12:B13"/>
    <mergeCell ref="A34:A35"/>
    <mergeCell ref="A6:B6"/>
    <mergeCell ref="Q6:R6"/>
    <mergeCell ref="H6:I6"/>
    <mergeCell ref="K6:L6"/>
    <mergeCell ref="D60:F60"/>
    <mergeCell ref="F8:H8"/>
    <mergeCell ref="G12:I12"/>
    <mergeCell ref="O8:Q8"/>
    <mergeCell ref="L8:N8"/>
    <mergeCell ref="I8:K8"/>
    <mergeCell ref="G54:I54"/>
    <mergeCell ref="D40:D41"/>
    <mergeCell ref="D28:D29"/>
    <mergeCell ref="Q5:R5"/>
    <mergeCell ref="H5:K5"/>
    <mergeCell ref="L5:O5"/>
    <mergeCell ref="D16:D17"/>
    <mergeCell ref="D22:D23"/>
    <mergeCell ref="F16:F17"/>
    <mergeCell ref="F22:F23"/>
    <mergeCell ref="D59:F59"/>
    <mergeCell ref="D52:D53"/>
    <mergeCell ref="D34:D35"/>
    <mergeCell ref="D46:D47"/>
    <mergeCell ref="F40:F41"/>
    <mergeCell ref="F28:F29"/>
    <mergeCell ref="F52:F53"/>
    <mergeCell ref="F46:F47"/>
    <mergeCell ref="F34:F35"/>
    <mergeCell ref="G61:I61"/>
    <mergeCell ref="A16:A17"/>
    <mergeCell ref="A18:A19"/>
    <mergeCell ref="A20:A21"/>
    <mergeCell ref="A22:A23"/>
    <mergeCell ref="A24:A25"/>
    <mergeCell ref="A26:A27"/>
    <mergeCell ref="A28:A29"/>
    <mergeCell ref="A30:A31"/>
    <mergeCell ref="A32:A33"/>
    <mergeCell ref="A56:A57"/>
    <mergeCell ref="A42:A43"/>
    <mergeCell ref="A44:A45"/>
    <mergeCell ref="A46:A47"/>
    <mergeCell ref="A48:A49"/>
    <mergeCell ref="A50:A51"/>
    <mergeCell ref="A52:A53"/>
    <mergeCell ref="A54:A55"/>
    <mergeCell ref="B36:B37"/>
    <mergeCell ref="B38:B39"/>
    <mergeCell ref="B54:B55"/>
    <mergeCell ref="B44:B45"/>
    <mergeCell ref="B42:B43"/>
    <mergeCell ref="B40:B41"/>
    <mergeCell ref="A36:A37"/>
    <mergeCell ref="A38:A39"/>
    <mergeCell ref="A40:A41"/>
    <mergeCell ref="G42:I42"/>
    <mergeCell ref="G43:I43"/>
    <mergeCell ref="G48:I48"/>
    <mergeCell ref="B16:B17"/>
    <mergeCell ref="B18:B19"/>
    <mergeCell ref="B20:B21"/>
    <mergeCell ref="B30:B31"/>
    <mergeCell ref="B22:B23"/>
    <mergeCell ref="B24:B25"/>
    <mergeCell ref="B26:B27"/>
    <mergeCell ref="H56:I56"/>
    <mergeCell ref="H26:I26"/>
    <mergeCell ref="H32:I32"/>
    <mergeCell ref="G30:I30"/>
    <mergeCell ref="G31:I31"/>
    <mergeCell ref="G36:I36"/>
    <mergeCell ref="G37:I37"/>
    <mergeCell ref="H38:I38"/>
    <mergeCell ref="H50:I50"/>
    <mergeCell ref="G55:I55"/>
    <mergeCell ref="M59:Q59"/>
    <mergeCell ref="M60:Q60"/>
    <mergeCell ref="L61:L62"/>
    <mergeCell ref="L63:L64"/>
    <mergeCell ref="M62:Q62"/>
    <mergeCell ref="M61:Q61"/>
    <mergeCell ref="L59:L60"/>
    <mergeCell ref="R59:R60"/>
    <mergeCell ref="R61:R62"/>
    <mergeCell ref="R63:R64"/>
    <mergeCell ref="R65:R66"/>
    <mergeCell ref="B56:B57"/>
    <mergeCell ref="B46:B47"/>
    <mergeCell ref="B48:B49"/>
    <mergeCell ref="B50:B51"/>
    <mergeCell ref="B52:B53"/>
    <mergeCell ref="M58:Q58"/>
    <mergeCell ref="G13:I13"/>
    <mergeCell ref="G18:I18"/>
    <mergeCell ref="G19:I19"/>
    <mergeCell ref="G24:I24"/>
    <mergeCell ref="H14:I14"/>
    <mergeCell ref="C16:C17"/>
    <mergeCell ref="C20:C21"/>
    <mergeCell ref="C18:C19"/>
    <mergeCell ref="C22:C23"/>
    <mergeCell ref="M46:O46"/>
    <mergeCell ref="B34:B35"/>
    <mergeCell ref="J15:L15"/>
    <mergeCell ref="H20:I20"/>
    <mergeCell ref="K17:L17"/>
    <mergeCell ref="G25:I25"/>
    <mergeCell ref="C24:C25"/>
    <mergeCell ref="B32:B33"/>
    <mergeCell ref="B28:B29"/>
    <mergeCell ref="C28:C29"/>
    <mergeCell ref="N20:O20"/>
    <mergeCell ref="Q35:R35"/>
    <mergeCell ref="C9:C11"/>
    <mergeCell ref="P33:R33"/>
    <mergeCell ref="P34:R34"/>
    <mergeCell ref="D9:E11"/>
    <mergeCell ref="R10:R11"/>
    <mergeCell ref="M21:O21"/>
    <mergeCell ref="M22:O22"/>
    <mergeCell ref="N23:O23"/>
    <mergeCell ref="K29:L29"/>
    <mergeCell ref="J16:L16"/>
    <mergeCell ref="J27:L27"/>
    <mergeCell ref="J28:L28"/>
    <mergeCell ref="F69:I69"/>
    <mergeCell ref="D63:F63"/>
    <mergeCell ref="D64:F64"/>
    <mergeCell ref="J52:L52"/>
    <mergeCell ref="J40:L40"/>
    <mergeCell ref="K53:L53"/>
    <mergeCell ref="M66:Q66"/>
    <mergeCell ref="M63:Q63"/>
    <mergeCell ref="L65:L66"/>
    <mergeCell ref="M65:Q65"/>
    <mergeCell ref="M64:Q64"/>
    <mergeCell ref="J39:L39"/>
    <mergeCell ref="N47:O47"/>
    <mergeCell ref="K41:L41"/>
    <mergeCell ref="J51:L51"/>
    <mergeCell ref="M45:O45"/>
  </mergeCells>
  <conditionalFormatting sqref="E12:E14 E18:E21 E24:E27 E30:E33 E36:E39 E42:E45 E48:E51 E54:E57">
    <cfRule type="expression" priority="1" dxfId="207" stopIfTrue="1">
      <formula>COUNTIF($M$59:$Q$66,D12)&gt;0</formula>
    </cfRule>
  </conditionalFormatting>
  <conditionalFormatting sqref="E15">
    <cfRule type="expression" priority="2" dxfId="207" stopIfTrue="1">
      <formula>COUNTIF($M$59:$Q$66,D512)&gt;0</formula>
    </cfRule>
  </conditionalFormatting>
  <conditionalFormatting sqref="G12:I12 G18:I18 G24:I24 G30:I30 G36:I36 G42:I42 G48:I48 G54:I54">
    <cfRule type="expression" priority="3" dxfId="207" stopIfTrue="1">
      <formula>COUNTIF($M$59:$Q$66,G12)&gt;0</formula>
    </cfRule>
    <cfRule type="expression" priority="4" dxfId="209" stopIfTrue="1">
      <formula>LEFT($G12,4)="поб."</formula>
    </cfRule>
  </conditionalFormatting>
  <conditionalFormatting sqref="G13:I13 G19:I19 G25:I25 G31:I31 G37:I37 G43:I43 G49:I49 G55:I55">
    <cfRule type="expression" priority="5" dxfId="207" stopIfTrue="1">
      <formula>COUNTIF($M$59:$Q$66,G13)&gt;0</formula>
    </cfRule>
    <cfRule type="expression" priority="6" dxfId="209" stopIfTrue="1">
      <formula>LEFT($G12,4)="поб."</formula>
    </cfRule>
  </conditionalFormatting>
  <conditionalFormatting sqref="J15:L15 J27:L27 J39:L39 J51:L51">
    <cfRule type="expression" priority="7" dxfId="207" stopIfTrue="1">
      <formula>COUNTIF($M$59:$Q$66,J15)&gt;0</formula>
    </cfRule>
    <cfRule type="expression" priority="8" dxfId="209" stopIfTrue="1">
      <formula>LEFT($J15,4)="поб."</formula>
    </cfRule>
  </conditionalFormatting>
  <conditionalFormatting sqref="J52:L52 J28:L28 J40:L40 J16:L16">
    <cfRule type="expression" priority="9" dxfId="207" stopIfTrue="1">
      <formula>COUNTIF($M$59:$Q$66,J16)&gt;0</formula>
    </cfRule>
    <cfRule type="expression" priority="10" dxfId="209" stopIfTrue="1">
      <formula>LEFT($J15,4)="поб."</formula>
    </cfRule>
  </conditionalFormatting>
  <conditionalFormatting sqref="M21:O21 M45:O45">
    <cfRule type="expression" priority="11" dxfId="207" stopIfTrue="1">
      <formula>COUNTIF($M$59:$Q$66,M21)&gt;0</formula>
    </cfRule>
    <cfRule type="expression" priority="12" dxfId="209" stopIfTrue="1">
      <formula>LEFT($M21,4)="поб."</formula>
    </cfRule>
  </conditionalFormatting>
  <conditionalFormatting sqref="M46:O46 M22:O22">
    <cfRule type="expression" priority="13" dxfId="207" stopIfTrue="1">
      <formula>COUNTIF($M$59:$Q$66,M22)&gt;0</formula>
    </cfRule>
    <cfRule type="expression" priority="14" dxfId="209" stopIfTrue="1">
      <formula>LEFT($M21,4)="поб."</formula>
    </cfRule>
  </conditionalFormatting>
  <conditionalFormatting sqref="A12:A15 A18:A21 A24:A27 A30:A33 A36:A39 A42:A45 A48:A51 A54:A57">
    <cfRule type="expression" priority="15" dxfId="207" stopIfTrue="1">
      <formula>COUNTIF($M$59:$Q$66,$D12)&gt;0</formula>
    </cfRule>
  </conditionalFormatting>
  <conditionalFormatting sqref="D54:D57 D12:D15 D18:D21 D24:D27 D30:D33 D36:D39 D42:D45 D48:D51">
    <cfRule type="expression" priority="16" dxfId="207" stopIfTrue="1">
      <formula>COUNTIF($M$59:$Q$66,D12)&gt;0</formula>
    </cfRule>
  </conditionalFormatting>
  <conditionalFormatting sqref="G14 G20 J17 M23 J29 J53 G26 G56 J41 P35 M47 G32 G44 G38 G50">
    <cfRule type="cellIs" priority="17" dxfId="212" operator="notEqual" stopIfTrue="1">
      <formula>0</formula>
    </cfRule>
  </conditionalFormatting>
  <conditionalFormatting sqref="D65:K65">
    <cfRule type="expression" priority="18" dxfId="213" stopIfTrue="1">
      <formula>$C$62=TRUE</formula>
    </cfRule>
  </conditionalFormatting>
  <conditionalFormatting sqref="C12:C15 C18:C21 C24:C27 C30:C33 C36:C39 C42:C45 C48:C51 C54:C57">
    <cfRule type="expression" priority="19" dxfId="211" stopIfTrue="1">
      <formula>AND(C12&lt;&gt;"Х",C12&lt;&gt;"х",COUNTIF($C$12:$C$57,C12)&gt;1)</formula>
    </cfRule>
  </conditionalFormatting>
  <conditionalFormatting sqref="G64 H63:I64 J59:K64 G59:I60">
    <cfRule type="expression" priority="20" dxfId="213" stopIfTrue="1">
      <formula>$AA$1=TRUE</formula>
    </cfRule>
  </conditionalFormatting>
  <conditionalFormatting sqref="G63">
    <cfRule type="expression" priority="21" dxfId="213" stopIfTrue="1">
      <formula>$AA$1=TRUE</formula>
    </cfRule>
    <cfRule type="cellIs" priority="22" dxfId="13" operator="notEqual" stopIfTrue="1">
      <formula>0</formula>
    </cfRule>
  </conditionalFormatting>
  <conditionalFormatting sqref="D61:F62">
    <cfRule type="expression" priority="23" dxfId="208" stopIfTrue="1">
      <formula>$AA$1=TRUE</formula>
    </cfRule>
  </conditionalFormatting>
  <conditionalFormatting sqref="D59:F59 D63:F63">
    <cfRule type="expression" priority="24" dxfId="208" stopIfTrue="1">
      <formula>$AA$1=TRUE</formula>
    </cfRule>
    <cfRule type="expression" priority="25" dxfId="209" stopIfTrue="1">
      <formula>LEFT($D59,3)="пр."</formula>
    </cfRule>
  </conditionalFormatting>
  <conditionalFormatting sqref="D60:F60 D64:F64">
    <cfRule type="expression" priority="26" dxfId="208" stopIfTrue="1">
      <formula>$AA$1=TRUE</formula>
    </cfRule>
    <cfRule type="expression" priority="27" dxfId="209" stopIfTrue="1">
      <formula>LEFT($D59,3)="пр."</formula>
    </cfRule>
  </conditionalFormatting>
  <conditionalFormatting sqref="P33:R33">
    <cfRule type="expression" priority="28" dxfId="207" stopIfTrue="1">
      <formula>COUNTIF($M$59:$Q$66,P33)&gt;0</formula>
    </cfRule>
    <cfRule type="expression" priority="29" dxfId="209" stopIfTrue="1">
      <formula>LEFT($P33,4)="поб."</formula>
    </cfRule>
  </conditionalFormatting>
  <conditionalFormatting sqref="P34:R34">
    <cfRule type="expression" priority="30" dxfId="207" stopIfTrue="1">
      <formula>COUNTIF($M$59:$Q$66,P34)&gt;0</formula>
    </cfRule>
    <cfRule type="expression" priority="31" dxfId="209" stopIfTrue="1">
      <formula>LEFT($P33,4)="поб."</formula>
    </cfRule>
  </conditionalFormatting>
  <conditionalFormatting sqref="G61:I61">
    <cfRule type="expression" priority="32" dxfId="213" stopIfTrue="1">
      <formula>$AA$1=TRUE</formula>
    </cfRule>
    <cfRule type="expression" priority="33" dxfId="209" stopIfTrue="1">
      <formula>LEFT($G61,4)="поб."</formula>
    </cfRule>
  </conditionalFormatting>
  <conditionalFormatting sqref="G62:I62">
    <cfRule type="expression" priority="34" dxfId="213" stopIfTrue="1">
      <formula>$AA$1=TRUE</formula>
    </cfRule>
    <cfRule type="expression" priority="35"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xl/worksheets/sheet11.xml><?xml version="1.0" encoding="utf-8"?>
<worksheet xmlns="http://schemas.openxmlformats.org/spreadsheetml/2006/main" xmlns:r="http://schemas.openxmlformats.org/officeDocument/2006/relationships">
  <sheetPr codeName="Лист20">
    <pageSetUpPr fitToPage="1"/>
  </sheetPr>
  <dimension ref="A1:AA53"/>
  <sheetViews>
    <sheetView showGridLines="0" showRowColHeaders="0" showZeros="0" tabSelected="1" zoomScalePageLayoutView="0" workbookViewId="0" topLeftCell="A1">
      <pane ySplit="11" topLeftCell="A12" activePane="bottomLeft" state="frozen"/>
      <selection pane="topLeft" activeCell="I15" sqref="I15"/>
      <selection pane="bottomLeft" activeCell="C12" sqref="C12:C13"/>
    </sheetView>
  </sheetViews>
  <sheetFormatPr defaultColWidth="9.00390625" defaultRowHeight="12.75"/>
  <cols>
    <col min="1" max="1" width="8.875" style="1" customWidth="1"/>
    <col min="2" max="2" width="6.625" style="1" customWidth="1"/>
    <col min="3" max="3" width="6.25390625" style="11" customWidth="1"/>
    <col min="4" max="4" width="18.75390625" style="12" customWidth="1"/>
    <col min="5" max="5" width="4.75390625" style="12" customWidth="1"/>
    <col min="6" max="6" width="7.75390625" style="12" customWidth="1"/>
    <col min="7" max="7" width="1.75390625" style="1" customWidth="1"/>
    <col min="8" max="9" width="8.75390625" style="1" customWidth="1"/>
    <col min="10" max="10" width="1.75390625" style="1" customWidth="1"/>
    <col min="11" max="12" width="8.75390625" style="1" customWidth="1"/>
    <col min="13" max="13" width="1.75390625" style="12" customWidth="1"/>
    <col min="14" max="14" width="8.75390625" style="12" customWidth="1"/>
    <col min="15" max="15" width="1.75390625" style="12" customWidth="1"/>
    <col min="16" max="16" width="8.75390625" style="106" customWidth="1"/>
    <col min="17" max="17" width="8.75390625" style="12" customWidth="1"/>
    <col min="18" max="18" width="10.125" style="1" customWidth="1"/>
    <col min="19" max="26" width="9.125" style="1" customWidth="1"/>
    <col min="27" max="27" width="0" style="1" hidden="1" customWidth="1"/>
    <col min="28" max="16384" width="9.125" style="1" customWidth="1"/>
  </cols>
  <sheetData>
    <row r="1" spans="2:27" ht="31.5" customHeight="1">
      <c r="B1" s="836" t="s">
        <v>79</v>
      </c>
      <c r="C1" s="836"/>
      <c r="D1" s="836"/>
      <c r="E1" s="836"/>
      <c r="F1" s="836"/>
      <c r="G1" s="836"/>
      <c r="H1" s="836"/>
      <c r="I1" s="836"/>
      <c r="J1" s="836"/>
      <c r="K1" s="836"/>
      <c r="L1" s="836"/>
      <c r="M1" s="836"/>
      <c r="N1" s="836"/>
      <c r="O1" s="836"/>
      <c r="P1" s="836"/>
      <c r="Q1" s="2"/>
      <c r="AA1" s="620" t="b">
        <v>0</v>
      </c>
    </row>
    <row r="2" spans="1:17"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5"/>
    </row>
    <row r="3" spans="2:17" s="6" customFormat="1" ht="8.25" customHeight="1">
      <c r="B3" s="838" t="s">
        <v>0</v>
      </c>
      <c r="C3" s="838"/>
      <c r="D3" s="838"/>
      <c r="E3" s="838"/>
      <c r="F3" s="838"/>
      <c r="G3" s="838"/>
      <c r="H3" s="838"/>
      <c r="I3" s="838"/>
      <c r="J3" s="838"/>
      <c r="K3" s="838"/>
      <c r="L3" s="838"/>
      <c r="M3" s="838"/>
      <c r="N3" s="838"/>
      <c r="O3" s="838"/>
      <c r="P3" s="838"/>
      <c r="Q3" s="7"/>
    </row>
    <row r="4" spans="2:17" ht="11.25" customHeight="1">
      <c r="B4" s="808" t="s">
        <v>173</v>
      </c>
      <c r="C4" s="839"/>
      <c r="D4" s="839"/>
      <c r="E4" s="839"/>
      <c r="F4" s="839"/>
      <c r="G4" s="839"/>
      <c r="H4" s="839"/>
      <c r="I4" s="839"/>
      <c r="J4" s="839"/>
      <c r="K4" s="839"/>
      <c r="L4" s="839"/>
      <c r="M4" s="839"/>
      <c r="N4" s="839"/>
      <c r="O4" s="839"/>
      <c r="P4" s="839"/>
      <c r="Q4" s="10"/>
    </row>
    <row r="5" spans="8:17" ht="12" customHeight="1">
      <c r="H5" s="810" t="s">
        <v>1</v>
      </c>
      <c r="I5" s="810"/>
      <c r="J5" s="810"/>
      <c r="K5" s="810"/>
      <c r="L5" s="907" t="str">
        <f>IF(Установка!$C$4="","",UPPER(Установка!$C$4))</f>
        <v>ДО 13 ЛЕТ</v>
      </c>
      <c r="M5" s="907"/>
      <c r="N5" s="907"/>
      <c r="O5" s="907"/>
      <c r="P5" s="809" t="str">
        <f>IF(Установка!$C$5="","Ю/Д/М/Ж/СМ",UPPER(Установка!$C$5))</f>
        <v>ДЕВУШКИ</v>
      </c>
      <c r="Q5" s="809"/>
    </row>
    <row r="6" spans="1:17" s="22" customFormat="1" ht="18" customHeight="1">
      <c r="A6" s="814" t="s">
        <v>31</v>
      </c>
      <c r="B6" s="814"/>
      <c r="C6" s="14"/>
      <c r="D6" s="805" t="str">
        <f>IF(Установка!C6="","",UPPER(Установка!C6))</f>
        <v>ЧЕЛЯБИНСК</v>
      </c>
      <c r="E6" s="805"/>
      <c r="F6" s="154"/>
      <c r="G6" s="154"/>
      <c r="H6" s="155" t="s">
        <v>32</v>
      </c>
      <c r="I6" s="807" t="str">
        <f>IF(Установка!C7="","",UPPER(Установка!C7))</f>
        <v>07-13.09.2015</v>
      </c>
      <c r="J6" s="807"/>
      <c r="K6" s="807"/>
      <c r="L6" s="19"/>
      <c r="M6" s="20"/>
      <c r="N6" s="21" t="s">
        <v>33</v>
      </c>
      <c r="O6" s="805" t="str">
        <f>IF(Установка!$C$8="","",UPPER(Установка!$C$8))</f>
        <v>IIIВ</v>
      </c>
      <c r="P6" s="805" t="str">
        <f>IF(Установка!$C$8="","",UPPER(Установка!$C$8))</f>
        <v>IIIВ</v>
      </c>
      <c r="Q6" s="805" t="str">
        <f>IF(Установка!$C$8="","",UPPER(Установка!$C$8))</f>
        <v>IIIВ</v>
      </c>
    </row>
    <row r="7" spans="1:17" s="6" customFormat="1" ht="12.75" customHeight="1">
      <c r="A7" s="23"/>
      <c r="B7" s="23"/>
      <c r="C7" s="24">
        <v>1</v>
      </c>
      <c r="D7" s="25"/>
      <c r="E7" s="25"/>
      <c r="F7" s="26"/>
      <c r="G7" s="27"/>
      <c r="H7" s="28"/>
      <c r="I7" s="28"/>
      <c r="J7" s="28"/>
      <c r="K7" s="29"/>
      <c r="L7" s="29"/>
      <c r="M7" s="30"/>
      <c r="N7" s="31"/>
      <c r="O7" s="32"/>
      <c r="P7" s="30"/>
      <c r="Q7" s="30"/>
    </row>
    <row r="8" spans="1:17" ht="10.5" customHeight="1">
      <c r="A8" s="2"/>
      <c r="B8" s="2"/>
      <c r="C8" s="33"/>
      <c r="D8" s="34"/>
      <c r="E8" s="34"/>
      <c r="F8" s="808" t="s">
        <v>5</v>
      </c>
      <c r="G8" s="808"/>
      <c r="H8" s="808"/>
      <c r="I8" s="808" t="s">
        <v>6</v>
      </c>
      <c r="J8" s="808"/>
      <c r="K8" s="808"/>
      <c r="L8" s="808" t="s">
        <v>7</v>
      </c>
      <c r="M8" s="808"/>
      <c r="N8" s="808"/>
      <c r="O8" s="808"/>
      <c r="P8" s="808"/>
      <c r="Q8" s="34"/>
    </row>
    <row r="9" spans="1:17" ht="6" customHeight="1">
      <c r="A9" s="821" t="s">
        <v>8</v>
      </c>
      <c r="B9" s="823" t="s">
        <v>9</v>
      </c>
      <c r="C9" s="854">
        <f>MAX(C12:C39)+1</f>
        <v>7</v>
      </c>
      <c r="D9" s="801" t="s">
        <v>10</v>
      </c>
      <c r="E9" s="803" t="s">
        <v>11</v>
      </c>
      <c r="F9" s="803" t="s">
        <v>12</v>
      </c>
      <c r="G9" s="35"/>
      <c r="H9" s="36"/>
      <c r="I9" s="8"/>
      <c r="J9" s="37"/>
      <c r="K9" s="8"/>
      <c r="L9" s="8"/>
      <c r="M9" s="38"/>
      <c r="N9" s="38"/>
      <c r="O9" s="38"/>
      <c r="P9" s="39"/>
      <c r="Q9" s="38"/>
    </row>
    <row r="10" spans="1:17" ht="9.75" customHeight="1">
      <c r="A10" s="822"/>
      <c r="B10" s="824"/>
      <c r="C10" s="854"/>
      <c r="D10" s="801"/>
      <c r="E10" s="803"/>
      <c r="F10" s="803"/>
      <c r="G10" s="40"/>
      <c r="H10" s="41"/>
      <c r="I10" s="42"/>
      <c r="J10" s="43"/>
      <c r="K10" s="43"/>
      <c r="L10" s="43"/>
      <c r="M10" s="44"/>
      <c r="N10" s="45"/>
      <c r="O10" s="45"/>
      <c r="P10" s="45"/>
      <c r="Q10" s="803"/>
    </row>
    <row r="11" spans="1:17" s="53" customFormat="1" ht="9.75" customHeight="1" thickBot="1">
      <c r="A11" s="822"/>
      <c r="B11" s="824"/>
      <c r="C11" s="855"/>
      <c r="D11" s="802"/>
      <c r="E11" s="804"/>
      <c r="F11" s="804"/>
      <c r="G11" s="112"/>
      <c r="H11" s="47"/>
      <c r="I11" s="48"/>
      <c r="J11" s="49"/>
      <c r="K11" s="49"/>
      <c r="L11" s="49"/>
      <c r="M11" s="50"/>
      <c r="N11" s="51"/>
      <c r="O11" s="51"/>
      <c r="P11" s="51"/>
      <c r="Q11" s="803"/>
    </row>
    <row r="12" spans="1:17" s="53" customFormat="1" ht="21" customHeight="1">
      <c r="A12" s="758" t="str">
        <f>IF($C12="","1",IF(AND($C12&gt;=1,$C12&lt;17),INDEX(ПодгПар!$P$6:$P$13,$C12),""))</f>
        <v>1 </v>
      </c>
      <c r="B12" s="759">
        <v>1</v>
      </c>
      <c r="C12" s="796">
        <v>1</v>
      </c>
      <c r="D12" s="133" t="str">
        <f>IF($C12="","",IF(AND($C12&gt;=1,$C12&lt;9),INDEX(ПодгПар!$AB$6:$AB$13,$C12,1),"Х"))</f>
        <v>МАТВЕЕВА</v>
      </c>
      <c r="E12" s="134" t="str">
        <f>IF($C12="","",IF(AND($C12&gt;=1,$C12&lt;9),INDEX(ПодгПар!$W$6:$W$13,$C12,1),""))</f>
        <v>Е.О.</v>
      </c>
      <c r="F12" s="135" t="str">
        <f>IF($C12="","",IF(AND($C12&gt;=1,$C12&lt;9),INDEX(ПодгПар!$F$6:$F$13,$C12,1),""))</f>
        <v>Уфа</v>
      </c>
      <c r="G12" s="857" t="str">
        <f>IF(G14=0,CONCATENATE("поб.",D12,",",D13),IF(G14=1,D12,IF(G14=2,D14,"Х")))</f>
        <v>МАТВЕЕВА</v>
      </c>
      <c r="H12" s="858"/>
      <c r="I12" s="858"/>
      <c r="J12" s="54"/>
      <c r="K12" s="55"/>
      <c r="L12" s="55"/>
      <c r="M12" s="56"/>
      <c r="N12" s="56"/>
      <c r="O12" s="57"/>
      <c r="P12" s="56"/>
      <c r="Q12" s="56"/>
    </row>
    <row r="13" spans="1:17" s="53" customFormat="1" ht="21" customHeight="1">
      <c r="A13" s="904"/>
      <c r="B13" s="903"/>
      <c r="C13" s="797"/>
      <c r="D13" s="165" t="str">
        <f>IF($C12="","",IF(AND($C12&gt;=1,$C12&lt;9),INDEX(ПодгПар!$AL$6:$AL$13,$C12,1),"Х"))</f>
        <v>ХАБАРОВА</v>
      </c>
      <c r="E13" s="166" t="str">
        <f>IF($C12="","",IF(AND($C12&gt;=1,$C12&lt;9),INDEX(ПодгПар!$AJ$6:$AJ$13,$C12,1),""))</f>
        <v>А.О.</v>
      </c>
      <c r="F13" s="167" t="str">
        <f>IF($C12="","",IF(AND($C12&gt;=1,$C12&lt;9),INDEX(ПодгПар!$K$6:$K$13,$C12,1),""))</f>
        <v>Уфа</v>
      </c>
      <c r="G13" s="862" t="str">
        <f>IF(G14=0,CONCATENATE(D14,",",D15),IF(G14=1,D13,IF(G14=2,D15,"Х")))</f>
        <v>ХАБАРОВА</v>
      </c>
      <c r="H13" s="863"/>
      <c r="I13" s="863"/>
      <c r="J13" s="54"/>
      <c r="K13" s="55"/>
      <c r="L13" s="55"/>
      <c r="M13" s="56"/>
      <c r="N13" s="56"/>
      <c r="O13" s="57"/>
      <c r="P13" s="56"/>
      <c r="Q13" s="56"/>
    </row>
    <row r="14" spans="1:18" s="9" customFormat="1" ht="21" customHeight="1">
      <c r="A14" s="729">
        <f>IF($C14="","",IF(AND($C14&gt;=1,$C14&lt;17),INDEX(ПодгПар!$P$6:$P$13,$C14),""))</f>
      </c>
      <c r="B14" s="769">
        <v>2</v>
      </c>
      <c r="C14" s="788" t="s">
        <v>210</v>
      </c>
      <c r="D14" s="136" t="str">
        <f>IF($C14="","",IF(AND($C14&gt;=1,$C14&lt;9),INDEX(ПодгПар!$AB$6:$AB$13,$C14,1),"Х"))</f>
        <v>Х</v>
      </c>
      <c r="E14" s="137">
        <f>IF($C14="","",IF(AND($C14&gt;=1,$C14&lt;9),INDEX(ПодгПар!$W$6:$W$13,$C14,1),""))</f>
      </c>
      <c r="F14" s="138">
        <f>IF($C14="","",IF(AND($C14&gt;=1,$C14&lt;9),INDEX(ПодгПар!$F$6:$F$13,$C14,1),""))</f>
      </c>
      <c r="G14" s="139">
        <v>1</v>
      </c>
      <c r="H14" s="848"/>
      <c r="I14" s="856"/>
      <c r="J14" s="63"/>
      <c r="K14" s="59"/>
      <c r="L14" s="59"/>
      <c r="M14" s="60"/>
      <c r="N14" s="61"/>
      <c r="O14" s="60"/>
      <c r="P14" s="61"/>
      <c r="Q14" s="61"/>
      <c r="R14" s="62"/>
    </row>
    <row r="15" spans="1:18" s="9" customFormat="1" ht="21" customHeight="1" thickBot="1">
      <c r="A15" s="904"/>
      <c r="B15" s="903"/>
      <c r="C15" s="789"/>
      <c r="D15" s="168" t="str">
        <f>IF($C14="","",IF(AND($C14&gt;=1,$C14&lt;9),INDEX(ПодгПар!$AL$6:$AL$13,$C14,1),"Х"))</f>
        <v>Х</v>
      </c>
      <c r="E15" s="169">
        <f>IF($C14="","",IF(AND($C14&gt;=1,$C14&lt;9),INDEX(ПодгПар!$AJ$6:$AJ$13,$C14,1),""))</f>
      </c>
      <c r="F15" s="170">
        <f>IF($C14="","",IF(AND($C14&gt;=1,$C14&lt;9),INDEX(ПодгПар!$K$6:$K$13,$C14,1),""))</f>
      </c>
      <c r="G15" s="247"/>
      <c r="H15" s="63"/>
      <c r="I15" s="248"/>
      <c r="J15" s="63"/>
      <c r="K15" s="59"/>
      <c r="L15" s="59"/>
      <c r="M15" s="60"/>
      <c r="N15" s="61"/>
      <c r="O15" s="60"/>
      <c r="P15" s="61"/>
      <c r="Q15" s="61"/>
      <c r="R15" s="62"/>
    </row>
    <row r="16" spans="1:18" s="9" customFormat="1" ht="21" customHeight="1">
      <c r="A16" s="108"/>
      <c r="B16" s="109"/>
      <c r="C16" s="235"/>
      <c r="D16" s="134"/>
      <c r="E16" s="134"/>
      <c r="F16" s="134"/>
      <c r="G16" s="116"/>
      <c r="H16" s="140"/>
      <c r="I16" s="141"/>
      <c r="J16" s="860" t="str">
        <f>IF(J18=0,CONCATENATE("поб.",G12,",",G13),IF(J18=1,G12,IF(J18=2,G20,"Х")))</f>
        <v>МАТВЕЕВА</v>
      </c>
      <c r="K16" s="861"/>
      <c r="L16" s="861"/>
      <c r="M16" s="63"/>
      <c r="N16" s="61"/>
      <c r="O16" s="60"/>
      <c r="P16" s="61"/>
      <c r="Q16" s="61"/>
      <c r="R16" s="62"/>
    </row>
    <row r="17" spans="1:18" s="9" customFormat="1" ht="21" customHeight="1">
      <c r="A17" s="756"/>
      <c r="B17" s="899"/>
      <c r="C17" s="900"/>
      <c r="D17" s="905"/>
      <c r="E17" s="160"/>
      <c r="F17" s="905"/>
      <c r="G17" s="65"/>
      <c r="H17" s="140"/>
      <c r="I17" s="141"/>
      <c r="J17" s="875" t="str">
        <f>IF(J18=0,CONCATENATE(G20,",",G21),IF(J18=1,G13,IF(J18=2,G21,"Х")))</f>
        <v>ХАБАРОВА</v>
      </c>
      <c r="K17" s="876"/>
      <c r="L17" s="876"/>
      <c r="M17" s="63"/>
      <c r="N17" s="61"/>
      <c r="O17" s="60"/>
      <c r="P17" s="61"/>
      <c r="Q17" s="61"/>
      <c r="R17" s="62"/>
    </row>
    <row r="18" spans="1:18" s="9" customFormat="1" ht="21" customHeight="1">
      <c r="A18" s="756"/>
      <c r="B18" s="899"/>
      <c r="C18" s="900"/>
      <c r="D18" s="905"/>
      <c r="E18" s="160"/>
      <c r="F18" s="905"/>
      <c r="G18" s="65"/>
      <c r="H18" s="140"/>
      <c r="I18" s="141"/>
      <c r="J18" s="145">
        <v>1</v>
      </c>
      <c r="K18" s="890" t="s">
        <v>213</v>
      </c>
      <c r="L18" s="856"/>
      <c r="M18" s="63"/>
      <c r="N18" s="61"/>
      <c r="O18" s="60"/>
      <c r="P18" s="61"/>
      <c r="Q18" s="61"/>
      <c r="R18" s="62"/>
    </row>
    <row r="19" spans="1:18" s="9" customFormat="1" ht="21" customHeight="1" thickBot="1">
      <c r="A19" s="777"/>
      <c r="B19" s="779"/>
      <c r="C19" s="781"/>
      <c r="D19" s="906"/>
      <c r="E19" s="161"/>
      <c r="F19" s="906"/>
      <c r="G19" s="65"/>
      <c r="H19" s="64"/>
      <c r="I19" s="144"/>
      <c r="J19" s="586"/>
      <c r="K19" s="891"/>
      <c r="L19" s="891"/>
      <c r="M19" s="66"/>
      <c r="N19" s="61"/>
      <c r="O19" s="60"/>
      <c r="P19" s="61"/>
      <c r="Q19" s="61"/>
      <c r="R19" s="62"/>
    </row>
    <row r="20" spans="1:18" s="9" customFormat="1" ht="21" customHeight="1">
      <c r="A20" s="758">
        <f>IF($C20="","",IF(AND($C20&gt;=1,$C20&lt;17),INDEX(ПодгПар!$P$6:$P$13,$C20),""))</f>
      </c>
      <c r="B20" s="759">
        <v>3</v>
      </c>
      <c r="C20" s="761">
        <v>3</v>
      </c>
      <c r="D20" s="133" t="str">
        <f>IF($C20="","",IF(AND($C20&gt;=1,$C20&lt;9),INDEX(ПодгПар!$AB$6:$AB$13,$C20,1),"Х"))</f>
        <v>КОПТЕВА</v>
      </c>
      <c r="E20" s="134" t="str">
        <f>IF($C20="","",IF(AND($C20&gt;=1,$C20&lt;9),INDEX(ПодгПар!$W$6:$W$13,$C20,1),""))</f>
        <v>Д.А.</v>
      </c>
      <c r="F20" s="135" t="str">
        <f>IF($C20="","",IF(AND($C20&gt;=1,$C20&lt;9),INDEX(ПодгПар!$F$6:$F$13,$C20,1),""))</f>
        <v>Челябинск</v>
      </c>
      <c r="G20" s="857" t="str">
        <f>IF(G22=0,CONCATENATE("поб.",D20,",",D21),IF(G22=1,D20,IF(G22=2,D22,"Х")))</f>
        <v>КОПТЕВА</v>
      </c>
      <c r="H20" s="858"/>
      <c r="I20" s="859"/>
      <c r="J20" s="58"/>
      <c r="K20" s="67"/>
      <c r="L20" s="67"/>
      <c r="M20" s="66"/>
      <c r="N20" s="61"/>
      <c r="O20" s="60"/>
      <c r="P20" s="61"/>
      <c r="Q20" s="61"/>
      <c r="R20" s="62"/>
    </row>
    <row r="21" spans="1:18" s="9" customFormat="1" ht="21" customHeight="1">
      <c r="A21" s="904"/>
      <c r="B21" s="903"/>
      <c r="C21" s="762"/>
      <c r="D21" s="171" t="str">
        <f>IF($C20="","",IF(AND($C20&gt;=1,$C20&lt;9),INDEX(ПодгПар!$AL$6:$AL$13,$C20,1),"Х"))</f>
        <v>САФРОНОВА</v>
      </c>
      <c r="E21" s="172" t="str">
        <f>IF($C20="","",IF(AND($C20&gt;=1,$C20&lt;9),INDEX(ПодгПар!$AJ$6:$AJ$13,$C20,1),""))</f>
        <v>П.С.</v>
      </c>
      <c r="F21" s="173" t="str">
        <f>IF($C20="","",IF(AND($C20&gt;=1,$C20&lt;9),INDEX(ПодгПар!$K$6:$K$13,$C20,1),""))</f>
        <v>Челябинск</v>
      </c>
      <c r="G21" s="862" t="str">
        <f>IF(G22=0,CONCATENATE(D22,",",D23),IF(G22=1,D21,IF(G22=2,D23,"Х")))</f>
        <v>САФРОНОВА</v>
      </c>
      <c r="H21" s="863"/>
      <c r="I21" s="864"/>
      <c r="J21" s="58"/>
      <c r="K21" s="67"/>
      <c r="L21" s="67"/>
      <c r="M21" s="66"/>
      <c r="N21" s="61"/>
      <c r="O21" s="60"/>
      <c r="P21" s="61"/>
      <c r="Q21" s="61"/>
      <c r="R21" s="62"/>
    </row>
    <row r="22" spans="1:18" s="9" customFormat="1" ht="21" customHeight="1">
      <c r="A22" s="729">
        <f>IF($C22="","",IF(AND($C22&gt;=1,$C22&lt;17),INDEX(ПодгПар!$P$6:$P$13,$C22),""))</f>
      </c>
      <c r="B22" s="769">
        <v>4</v>
      </c>
      <c r="C22" s="788">
        <v>6</v>
      </c>
      <c r="D22" s="157" t="str">
        <f>IF($C22="","",IF(AND($C22&gt;=1,$C22&lt;9),INDEX(ПодгПар!$AB$6:$AB$13,$C22,1),"Х"))</f>
        <v>НЕСВЕТАЕВА</v>
      </c>
      <c r="E22" s="158" t="str">
        <f>IF($C22="","",IF(AND($C22&gt;=1,$C22&lt;9),INDEX(ПодгПар!$W$6:$W$13,$C22,1),""))</f>
        <v>М.Д.</v>
      </c>
      <c r="F22" s="159" t="str">
        <f>IF($C22="","",IF(AND($C22&gt;=1,$C22&lt;9),INDEX(ПодгПар!$F$6:$F$13,$C22,1),""))</f>
        <v>Челябинск</v>
      </c>
      <c r="G22" s="139">
        <v>1</v>
      </c>
      <c r="H22" s="890" t="s">
        <v>211</v>
      </c>
      <c r="I22" s="848"/>
      <c r="J22" s="63"/>
      <c r="K22" s="59"/>
      <c r="L22" s="59"/>
      <c r="M22" s="68"/>
      <c r="N22" s="61"/>
      <c r="O22" s="60"/>
      <c r="P22" s="61"/>
      <c r="Q22" s="61"/>
      <c r="R22" s="62"/>
    </row>
    <row r="23" spans="1:18" s="9" customFormat="1" ht="21" customHeight="1" thickBot="1">
      <c r="A23" s="904"/>
      <c r="B23" s="903"/>
      <c r="C23" s="789"/>
      <c r="D23" s="171" t="str">
        <f>IF($C22="","",IF(AND($C22&gt;=1,$C22&lt;9),INDEX(ПодгПар!$AL$6:$AL$13,$C22,1),"Х"))</f>
        <v>ПЕРВУХИНА</v>
      </c>
      <c r="E23" s="172" t="str">
        <f>IF($C22="","",IF(AND($C22&gt;=1,$C22&lt;9),INDEX(ПодгПар!$AJ$6:$AJ$13,$C22,1),""))</f>
        <v>С.А.</v>
      </c>
      <c r="F23" s="173" t="str">
        <f>IF($C22="","",IF(AND($C22&gt;=1,$C22&lt;9),INDEX(ПодгПар!$K$6:$K$13,$C22,1),""))</f>
        <v>Челябинск</v>
      </c>
      <c r="G23" s="587"/>
      <c r="H23" s="63"/>
      <c r="I23" s="63"/>
      <c r="J23" s="63"/>
      <c r="K23" s="59"/>
      <c r="L23" s="59"/>
      <c r="M23" s="68"/>
      <c r="N23" s="61"/>
      <c r="O23" s="60"/>
      <c r="P23" s="61"/>
      <c r="Q23" s="61"/>
      <c r="R23" s="62"/>
    </row>
    <row r="24" spans="1:18" s="9" customFormat="1" ht="21" customHeight="1">
      <c r="A24" s="108"/>
      <c r="B24" s="109"/>
      <c r="C24" s="235"/>
      <c r="D24" s="134"/>
      <c r="E24" s="134"/>
      <c r="F24" s="134"/>
      <c r="G24" s="116"/>
      <c r="H24" s="64"/>
      <c r="I24" s="64"/>
      <c r="J24" s="58"/>
      <c r="K24" s="59"/>
      <c r="L24" s="59"/>
      <c r="M24" s="879" t="str">
        <f>IF(M26=0,"",IF(M26=1,J16,IF(M26=2,J32,"Х")))</f>
        <v>МАТВЕЕВА</v>
      </c>
      <c r="N24" s="757"/>
      <c r="O24" s="757"/>
      <c r="P24" s="757"/>
      <c r="Q24" s="61"/>
      <c r="R24" s="62"/>
    </row>
    <row r="25" spans="1:18" s="9" customFormat="1" ht="21" customHeight="1">
      <c r="A25" s="756"/>
      <c r="B25" s="899"/>
      <c r="C25" s="900"/>
      <c r="D25" s="905"/>
      <c r="E25" s="160"/>
      <c r="F25" s="905"/>
      <c r="G25" s="65"/>
      <c r="H25" s="64"/>
      <c r="I25" s="64"/>
      <c r="J25" s="58"/>
      <c r="K25" s="59"/>
      <c r="L25" s="59"/>
      <c r="M25" s="877" t="str">
        <f>IF(M26=0,"",IF(M26=1,J17,IF(M26=2,J33,"Х")))</f>
        <v>ХАБАРОВА</v>
      </c>
      <c r="N25" s="878"/>
      <c r="O25" s="878"/>
      <c r="P25" s="878"/>
      <c r="Q25" s="61"/>
      <c r="R25" s="62"/>
    </row>
    <row r="26" spans="1:18" s="9" customFormat="1" ht="21" customHeight="1">
      <c r="A26" s="756"/>
      <c r="B26" s="899"/>
      <c r="C26" s="900"/>
      <c r="D26" s="905"/>
      <c r="E26" s="160"/>
      <c r="F26" s="905"/>
      <c r="G26" s="65"/>
      <c r="H26" s="64"/>
      <c r="I26" s="64"/>
      <c r="J26" s="58"/>
      <c r="K26" s="59"/>
      <c r="L26" s="59"/>
      <c r="M26" s="145">
        <v>1</v>
      </c>
      <c r="N26" s="892" t="s">
        <v>215</v>
      </c>
      <c r="O26" s="892"/>
      <c r="P26" s="892"/>
      <c r="Q26" s="61"/>
      <c r="R26" s="62"/>
    </row>
    <row r="27" spans="1:18" s="9" customFormat="1" ht="21" customHeight="1" thickBot="1">
      <c r="A27" s="777"/>
      <c r="B27" s="779"/>
      <c r="C27" s="781"/>
      <c r="D27" s="906"/>
      <c r="E27" s="161"/>
      <c r="F27" s="906"/>
      <c r="G27" s="65"/>
      <c r="H27" s="140"/>
      <c r="I27" s="140"/>
      <c r="J27" s="63"/>
      <c r="K27" s="59"/>
      <c r="L27" s="59"/>
      <c r="M27" s="586"/>
      <c r="N27" s="891"/>
      <c r="O27" s="891"/>
      <c r="P27" s="891"/>
      <c r="Q27" s="61"/>
      <c r="R27" s="62"/>
    </row>
    <row r="28" spans="1:18" s="9" customFormat="1" ht="21" customHeight="1">
      <c r="A28" s="758">
        <f>IF($C28="","",IF(AND($C28&gt;=1,$C28&lt;17),INDEX(ПодгПар!$P$6:$P$13,$C28),""))</f>
      </c>
      <c r="B28" s="759">
        <v>5</v>
      </c>
      <c r="C28" s="761">
        <v>4</v>
      </c>
      <c r="D28" s="133" t="str">
        <f>IF($C28="","",IF(AND($C28&gt;=1,$C28&lt;9),INDEX(ПодгПар!$AB$6:$AB$13,$C28,1),"Х"))</f>
        <v>ЗАБАРЧУК</v>
      </c>
      <c r="E28" s="134" t="str">
        <f>IF($C28="","",IF(AND($C28&gt;=1,$C28&lt;9),INDEX(ПодгПар!$W$6:$W$13,$C28,1),""))</f>
        <v>Е.А.</v>
      </c>
      <c r="F28" s="135" t="str">
        <f>IF($C28="","",IF(AND($C28&gt;=1,$C28&lt;9),INDEX(ПодгПар!$F$6:$F$13,$C28,1),""))</f>
        <v>Екатеринбург</v>
      </c>
      <c r="G28" s="857" t="str">
        <f>IF(G30=0,CONCATENATE("поб.",D28,",",D29),IF(G30=1,D28,IF(G30=2,D30,"Х")))</f>
        <v>АСФАНДИЯРОВА</v>
      </c>
      <c r="H28" s="858"/>
      <c r="I28" s="858"/>
      <c r="J28" s="149"/>
      <c r="K28" s="59"/>
      <c r="L28" s="59"/>
      <c r="M28" s="68"/>
      <c r="N28" s="61"/>
      <c r="O28" s="60"/>
      <c r="P28" s="61"/>
      <c r="Q28" s="61"/>
      <c r="R28" s="62"/>
    </row>
    <row r="29" spans="1:18" s="9" customFormat="1" ht="21" customHeight="1">
      <c r="A29" s="904"/>
      <c r="B29" s="903"/>
      <c r="C29" s="762"/>
      <c r="D29" s="171" t="str">
        <f>IF($C28="","",IF(AND($C28&gt;=1,$C28&lt;9),INDEX(ПодгПар!$AL$6:$AL$13,$C28,1),"Х"))</f>
        <v>ИВАНОВСКАЯ</v>
      </c>
      <c r="E29" s="172" t="str">
        <f>IF($C28="","",IF(AND($C28&gt;=1,$C28&lt;9),INDEX(ПодгПар!$AJ$6:$AJ$13,$C28,1),""))</f>
        <v>В.Д.</v>
      </c>
      <c r="F29" s="173" t="str">
        <f>IF($C28="","",IF(AND($C28&gt;=1,$C28&lt;9),INDEX(ПодгПар!$K$6:$K$13,$C28,1),""))</f>
        <v>Екатеринбург</v>
      </c>
      <c r="G29" s="862" t="str">
        <f>IF(G30=0,CONCATENATE(D30,",",D31),IF(G30=1,D29,IF(G30=2,D31,"Х")))</f>
        <v>ГОРЯИНОВА</v>
      </c>
      <c r="H29" s="863"/>
      <c r="I29" s="863"/>
      <c r="J29" s="149"/>
      <c r="K29" s="59"/>
      <c r="L29" s="59"/>
      <c r="M29" s="68"/>
      <c r="N29" s="61"/>
      <c r="O29" s="60"/>
      <c r="P29" s="61"/>
      <c r="Q29" s="61"/>
      <c r="R29" s="62"/>
    </row>
    <row r="30" spans="1:18" s="9" customFormat="1" ht="21" customHeight="1">
      <c r="A30" s="729">
        <f>IF($C30="","",IF(AND($C30&gt;=1,$C30&lt;17),INDEX(ПодгПар!$P$6:$P$13,$C30),""))</f>
      </c>
      <c r="B30" s="769">
        <v>6</v>
      </c>
      <c r="C30" s="788">
        <v>5</v>
      </c>
      <c r="D30" s="157" t="str">
        <f>IF($C30="","",IF(AND($C30&gt;=1,$C30&lt;9),INDEX(ПодгПар!$AB$6:$AB$13,$C30,1),"Х"))</f>
        <v>АСФАНДИЯРОВА</v>
      </c>
      <c r="E30" s="158" t="str">
        <f>IF($C30="","",IF(AND($C30&gt;=1,$C30&lt;9),INDEX(ПодгПар!$W$6:$W$13,$C30,1),""))</f>
        <v>К.И.</v>
      </c>
      <c r="F30" s="159" t="str">
        <f>IF($C30="","",IF(AND($C30&gt;=1,$C30&lt;9),INDEX(ПодгПар!$F$6:$F$13,$C30,1),""))</f>
        <v>Екатеринбург</v>
      </c>
      <c r="G30" s="139">
        <v>2</v>
      </c>
      <c r="H30" s="890" t="s">
        <v>212</v>
      </c>
      <c r="I30" s="856"/>
      <c r="J30" s="63"/>
      <c r="K30" s="67"/>
      <c r="L30" s="67"/>
      <c r="M30" s="66"/>
      <c r="N30" s="61"/>
      <c r="O30" s="60"/>
      <c r="P30" s="61"/>
      <c r="Q30" s="61"/>
      <c r="R30" s="62"/>
    </row>
    <row r="31" spans="1:18" s="9" customFormat="1" ht="21" customHeight="1" thickBot="1">
      <c r="A31" s="904"/>
      <c r="B31" s="903"/>
      <c r="C31" s="789"/>
      <c r="D31" s="171" t="str">
        <f>IF($C30="","",IF(AND($C30&gt;=1,$C30&lt;9),INDEX(ПодгПар!$AL$6:$AL$13,$C30,1),"Х"))</f>
        <v>ГОРЯИНОВА</v>
      </c>
      <c r="E31" s="172" t="str">
        <f>IF($C30="","",IF(AND($C30&gt;=1,$C30&lt;9),INDEX(ПодгПар!$AJ$6:$AJ$13,$C30,1),""))</f>
        <v>Е.Д.</v>
      </c>
      <c r="F31" s="173" t="str">
        <f>IF($C30="","",IF(AND($C30&gt;=1,$C30&lt;9),INDEX(ПодгПар!$K$6:$K$13,$C30,1),""))</f>
        <v>Екатеринбург</v>
      </c>
      <c r="G31" s="247"/>
      <c r="H31" s="63"/>
      <c r="I31" s="248"/>
      <c r="J31" s="63"/>
      <c r="K31" s="67"/>
      <c r="L31" s="67"/>
      <c r="M31" s="66"/>
      <c r="N31" s="61"/>
      <c r="O31" s="60"/>
      <c r="P31" s="61"/>
      <c r="Q31" s="61"/>
      <c r="R31" s="62"/>
    </row>
    <row r="32" spans="1:18" s="9" customFormat="1" ht="21" customHeight="1">
      <c r="A32" s="108"/>
      <c r="B32" s="109"/>
      <c r="C32" s="235"/>
      <c r="D32" s="134"/>
      <c r="E32" s="134"/>
      <c r="F32" s="134"/>
      <c r="G32" s="116"/>
      <c r="H32" s="140"/>
      <c r="I32" s="141"/>
      <c r="J32" s="860" t="str">
        <f>IF(J34=0,CONCATENATE("поб.",G28,",",G29),IF(J34=1,G28,IF(J34=2,G36,"Х")))</f>
        <v>АСФАНДИЯРОВА</v>
      </c>
      <c r="K32" s="861"/>
      <c r="L32" s="861"/>
      <c r="M32" s="70"/>
      <c r="N32" s="61"/>
      <c r="O32" s="60"/>
      <c r="P32" s="61"/>
      <c r="Q32" s="61"/>
      <c r="R32" s="62"/>
    </row>
    <row r="33" spans="1:18" s="9" customFormat="1" ht="21" customHeight="1">
      <c r="A33" s="756"/>
      <c r="B33" s="899"/>
      <c r="C33" s="900"/>
      <c r="D33" s="905"/>
      <c r="E33" s="160"/>
      <c r="F33" s="905"/>
      <c r="G33" s="65"/>
      <c r="H33" s="140"/>
      <c r="I33" s="141"/>
      <c r="J33" s="875" t="str">
        <f>IF(J34=0,CONCATENATE(G36,",",G37),IF(J34=1,G29,IF(J34=2,G37,"Х")))</f>
        <v>ГОРЯИНОВА</v>
      </c>
      <c r="K33" s="876"/>
      <c r="L33" s="876"/>
      <c r="M33" s="70"/>
      <c r="N33" s="61"/>
      <c r="O33" s="60"/>
      <c r="P33" s="61"/>
      <c r="Q33" s="61"/>
      <c r="R33" s="62"/>
    </row>
    <row r="34" spans="1:18" s="9" customFormat="1" ht="21" customHeight="1">
      <c r="A34" s="756"/>
      <c r="B34" s="899"/>
      <c r="C34" s="900"/>
      <c r="D34" s="905"/>
      <c r="E34" s="160"/>
      <c r="F34" s="905"/>
      <c r="G34" s="65"/>
      <c r="H34" s="140"/>
      <c r="I34" s="141"/>
      <c r="J34" s="145">
        <v>1</v>
      </c>
      <c r="K34" s="890" t="s">
        <v>213</v>
      </c>
      <c r="L34" s="848"/>
      <c r="M34" s="63"/>
      <c r="N34" s="61"/>
      <c r="O34" s="60"/>
      <c r="P34" s="61"/>
      <c r="Q34" s="61"/>
      <c r="R34" s="62"/>
    </row>
    <row r="35" spans="1:18" s="9" customFormat="1" ht="21" customHeight="1" thickBot="1">
      <c r="A35" s="777"/>
      <c r="B35" s="779"/>
      <c r="C35" s="781"/>
      <c r="D35" s="906"/>
      <c r="E35" s="161"/>
      <c r="F35" s="906"/>
      <c r="G35" s="65"/>
      <c r="H35" s="64"/>
      <c r="I35" s="144"/>
      <c r="J35" s="586"/>
      <c r="K35" s="902"/>
      <c r="L35" s="902"/>
      <c r="M35" s="71"/>
      <c r="N35" s="61"/>
      <c r="O35" s="60"/>
      <c r="P35" s="67"/>
      <c r="Q35" s="67"/>
      <c r="R35" s="62"/>
    </row>
    <row r="36" spans="1:18" s="9" customFormat="1" ht="21" customHeight="1">
      <c r="A36" s="758">
        <f>IF($C36="","",IF(AND($C36&gt;=1,$C36&lt;17),INDEX(ПодгПар!$P$6:$P$13,$C36),""))</f>
      </c>
      <c r="B36" s="759">
        <v>7</v>
      </c>
      <c r="C36" s="761" t="s">
        <v>210</v>
      </c>
      <c r="D36" s="133" t="str">
        <f>IF($C36="","",IF(AND($C36&gt;=1,$C36&lt;9),INDEX(ПодгПар!$AB$6:$AB$13,$C36,1),"Х"))</f>
        <v>Х</v>
      </c>
      <c r="E36" s="134">
        <f>IF($C36="","",IF(AND($C36&gt;=1,$C36&lt;9),INDEX(ПодгПар!$W$6:$W$13,$C36,1),""))</f>
      </c>
      <c r="F36" s="135">
        <f>IF($C36="","",IF(AND($C36&gt;=1,$C36&lt;9),INDEX(ПодгПар!$F$6:$F$13,$C36,1),""))</f>
      </c>
      <c r="G36" s="857" t="str">
        <f>IF(G38=0,CONCATENATE("поб.",D36,",",D37),IF(G38=1,D36,IF(G38=2,D38,"Х")))</f>
        <v>ПАНЬКОВА</v>
      </c>
      <c r="H36" s="858"/>
      <c r="I36" s="859"/>
      <c r="J36" s="58"/>
      <c r="K36" s="59"/>
      <c r="L36" s="59"/>
      <c r="M36" s="60"/>
      <c r="N36" s="61"/>
      <c r="O36" s="60"/>
      <c r="P36" s="67"/>
      <c r="Q36" s="67"/>
      <c r="R36" s="62"/>
    </row>
    <row r="37" spans="1:18" s="9" customFormat="1" ht="21" customHeight="1">
      <c r="A37" s="904"/>
      <c r="B37" s="903"/>
      <c r="C37" s="762"/>
      <c r="D37" s="171" t="str">
        <f>IF($C36="","",IF(AND($C36&gt;=1,$C36&lt;9),INDEX(ПодгПар!$AL$6:$AL$13,$C36,1),"Х"))</f>
        <v>Х</v>
      </c>
      <c r="E37" s="172">
        <f>IF($C36="","",IF(AND($C36&gt;=1,$C36&lt;9),INDEX(ПодгПар!$AJ$6:$AJ$13,$C36,1),""))</f>
      </c>
      <c r="F37" s="173">
        <f>IF($C36="","",IF(AND($C36&gt;=1,$C36&lt;9),INDEX(ПодгПар!$K$6:$K$13,$C36,1),""))</f>
      </c>
      <c r="G37" s="862" t="str">
        <f>IF(G38=0,CONCATENATE(D38,",",D39),IF(G38=1,D37,IF(G38=2,D39,"Х")))</f>
        <v>ТАРАНОВА</v>
      </c>
      <c r="H37" s="863"/>
      <c r="I37" s="864"/>
      <c r="J37" s="58"/>
      <c r="K37" s="59"/>
      <c r="L37" s="59"/>
      <c r="M37" s="60"/>
      <c r="N37" s="61"/>
      <c r="O37" s="60"/>
      <c r="P37" s="67"/>
      <c r="Q37" s="67"/>
      <c r="R37" s="62"/>
    </row>
    <row r="38" spans="1:18" s="9" customFormat="1" ht="21" customHeight="1">
      <c r="A38" s="729" t="str">
        <f>IF($C38="","2",IF(AND($C38&gt;=1,$C38&lt;17),INDEX(ПодгПар!$P$6:$P$13,$C38),""))</f>
        <v>2 </v>
      </c>
      <c r="B38" s="769">
        <v>8</v>
      </c>
      <c r="C38" s="771">
        <v>2</v>
      </c>
      <c r="D38" s="157" t="str">
        <f>IF($C38="","",IF(AND($C38&gt;=1,$C38&lt;9),INDEX(ПодгПар!$AB$6:$AB$13,$C38,1),"Х"))</f>
        <v>ПАНЬКОВА</v>
      </c>
      <c r="E38" s="158" t="str">
        <f>IF($C38="","",IF(AND($C38&gt;=1,$C38&lt;9),INDEX(ПодгПар!$W$6:$W$13,$C38,1),""))</f>
        <v>Я.О.</v>
      </c>
      <c r="F38" s="159" t="str">
        <f>IF($C38="","",IF(AND($C38&gt;=1,$C38&lt;9),INDEX(ПодгПар!$F$6:$F$13,$C38,1),""))</f>
        <v>Екатеринбург</v>
      </c>
      <c r="G38" s="139">
        <v>2</v>
      </c>
      <c r="H38" s="848"/>
      <c r="I38" s="848"/>
      <c r="J38" s="63"/>
      <c r="K38" s="59"/>
      <c r="L38" s="59"/>
      <c r="M38" s="60"/>
      <c r="N38" s="61"/>
      <c r="O38" s="60"/>
      <c r="P38" s="61"/>
      <c r="Q38" s="61"/>
      <c r="R38" s="62"/>
    </row>
    <row r="39" spans="1:18" s="9" customFormat="1" ht="21" customHeight="1" thickBot="1">
      <c r="A39" s="748"/>
      <c r="B39" s="770"/>
      <c r="C39" s="772"/>
      <c r="D39" s="174" t="str">
        <f>IF($C38="","",IF(AND($C38&gt;=1,$C38&lt;9),INDEX(ПодгПар!$AL$6:$AL$13,$C38,1),"Х"))</f>
        <v>ТАРАНОВА</v>
      </c>
      <c r="E39" s="175" t="str">
        <f>IF($C38="","",IF(AND($C38&gt;=1,$C38&lt;9),INDEX(ПодгПар!$AJ$6:$AJ$13,$C38,1),""))</f>
        <v>В.А.</v>
      </c>
      <c r="F39" s="176" t="str">
        <f>IF($C38="","",IF(AND($C38&gt;=1,$C38&lt;9),INDEX(ПодгПар!$K$6:$K$13,$C38,1),""))</f>
        <v>Екатеринбург</v>
      </c>
      <c r="G39" s="587"/>
      <c r="H39" s="63"/>
      <c r="I39" s="63"/>
      <c r="J39" s="63"/>
      <c r="K39" s="59"/>
      <c r="L39" s="59"/>
      <c r="M39" s="60"/>
      <c r="N39" s="61"/>
      <c r="O39" s="60"/>
      <c r="P39" s="61"/>
      <c r="Q39" s="61"/>
      <c r="R39" s="62"/>
    </row>
    <row r="40" spans="1:17" ht="18.75" customHeight="1">
      <c r="A40" s="163"/>
      <c r="B40" s="103"/>
      <c r="C40" s="585"/>
      <c r="D40" s="156"/>
      <c r="E40" s="156"/>
      <c r="F40" s="156"/>
      <c r="G40" s="247"/>
      <c r="H40" s="63"/>
      <c r="I40" s="63"/>
      <c r="J40" s="63"/>
      <c r="K40" s="59"/>
      <c r="L40" s="77" t="s">
        <v>13</v>
      </c>
      <c r="M40" s="881" t="s">
        <v>14</v>
      </c>
      <c r="N40" s="882"/>
      <c r="O40" s="882"/>
      <c r="P40" s="883"/>
      <c r="Q40" s="78" t="s">
        <v>22</v>
      </c>
    </row>
    <row r="41" spans="1:17" ht="12.75">
      <c r="A41" s="163"/>
      <c r="B41" s="103"/>
      <c r="C41" s="585"/>
      <c r="D41" s="901" t="str">
        <f>IF(ПолуфиналНеявка(K18),"Х",IF(J18=0,CONCATENATE("пр.",G12,",",G13),IF(J18=1,G20,IF(J18=2,G12,"Х"))))</f>
        <v>КОПТЕВА</v>
      </c>
      <c r="E41" s="901"/>
      <c r="F41" s="901"/>
      <c r="G41" s="61"/>
      <c r="H41" s="64"/>
      <c r="I41" s="64"/>
      <c r="J41" s="64"/>
      <c r="K41" s="76"/>
      <c r="L41" s="729">
        <f>IF(ПодгПар!L6=0,"",1)</f>
        <v>1</v>
      </c>
      <c r="M41" s="869" t="str">
        <f>IF(OR(ПодгПар!L6=0,ПодгПар!P6="ОЖ"),"",ПодгПар!AB6)</f>
        <v>МАТВЕЕВА</v>
      </c>
      <c r="N41" s="870"/>
      <c r="O41" s="870"/>
      <c r="P41" s="871"/>
      <c r="Q41" s="749">
        <f>IF(OR(ПодгПар!L6=0,ПодгПар!P6="ОЖ"),"",ПодгПар!L6)</f>
        <v>112</v>
      </c>
    </row>
    <row r="42" spans="2:17" ht="12.75">
      <c r="B42" s="79"/>
      <c r="C42" s="621"/>
      <c r="D42" s="865" t="str">
        <f>IF(ПолуфиналНеявка(K18),"Х",IF(J18=0,CONCATENATE(G20,",",G21),IF(J18=1,G21,IF(J18=2,G13,"Х"))))</f>
        <v>САФРОНОВА</v>
      </c>
      <c r="E42" s="865"/>
      <c r="F42" s="865"/>
      <c r="G42" s="81"/>
      <c r="H42" s="756"/>
      <c r="I42" s="756"/>
      <c r="J42" s="82"/>
      <c r="K42" s="83"/>
      <c r="L42" s="730"/>
      <c r="M42" s="893" t="str">
        <f>IF(OR(ПодгПар!L6=0,ПодгПар!P6="ОЖ"),"",ПодгПар!AL6)</f>
        <v>ХАБАРОВА</v>
      </c>
      <c r="N42" s="894"/>
      <c r="O42" s="894"/>
      <c r="P42" s="895"/>
      <c r="Q42" s="750"/>
    </row>
    <row r="43" spans="2:17" ht="12.75">
      <c r="B43" s="84"/>
      <c r="C43" s="617"/>
      <c r="D43" s="60"/>
      <c r="E43" s="60"/>
      <c r="F43" s="60"/>
      <c r="G43" s="874" t="str">
        <f>IF(G45=0,"",IF(G45=1,D41,IF(G45=2,D45,"Х")))</f>
        <v>КОПТЕВА</v>
      </c>
      <c r="H43" s="818"/>
      <c r="I43" s="818"/>
      <c r="J43" s="87"/>
      <c r="K43" s="88"/>
      <c r="L43" s="729">
        <f>IF(ПодгПар!L7=0,"",2)</f>
        <v>2</v>
      </c>
      <c r="M43" s="869" t="str">
        <f>IF(OR(ПодгПар!L7=0,ПодгПар!P7="ОЖ"),"",ПодгПар!AB7)</f>
        <v>ПАНЬКОВА</v>
      </c>
      <c r="N43" s="870"/>
      <c r="O43" s="870"/>
      <c r="P43" s="871"/>
      <c r="Q43" s="749">
        <f>IF(OR(ПодгПар!L7=0,ПодгПар!P7="ОЖ"),"",ПодгПар!L7)</f>
        <v>59</v>
      </c>
    </row>
    <row r="44" spans="3:17" ht="13.5" thickBot="1">
      <c r="C44" s="618"/>
      <c r="D44" s="611"/>
      <c r="E44" s="611"/>
      <c r="F44" s="611"/>
      <c r="G44" s="852" t="str">
        <f>IF(G45=0,"",IF(G45=1,D42,IF(G45=2,D46,"Х")))</f>
        <v>САФРОНОВА</v>
      </c>
      <c r="H44" s="853"/>
      <c r="I44" s="853"/>
      <c r="J44" s="87"/>
      <c r="K44" s="90" t="s">
        <v>15</v>
      </c>
      <c r="L44" s="748"/>
      <c r="M44" s="896" t="str">
        <f>IF(OR(ПодгПар!L7=0,ПодгПар!P7="ОЖ"),"",ПодгПар!AL7)</f>
        <v>ТАРАНОВА</v>
      </c>
      <c r="N44" s="897"/>
      <c r="O44" s="897"/>
      <c r="P44" s="898"/>
      <c r="Q44" s="754"/>
    </row>
    <row r="45" spans="3:17" ht="12.75">
      <c r="C45" s="615"/>
      <c r="D45" s="901" t="str">
        <f>IF(ПолуфиналНеявка(K34),"Х",IF(J34=0,CONCATENATE("пр.",G28,",",G29),IF(J34=1,G36,IF(J34=2,G28,"Х"))))</f>
        <v>ПАНЬКОВА</v>
      </c>
      <c r="E45" s="901"/>
      <c r="F45" s="908"/>
      <c r="G45" s="164">
        <v>1</v>
      </c>
      <c r="H45" s="851" t="s">
        <v>214</v>
      </c>
      <c r="I45" s="851"/>
      <c r="J45" s="91"/>
      <c r="K45" s="153"/>
      <c r="L45" s="96"/>
      <c r="M45" s="151"/>
      <c r="N45" s="151"/>
      <c r="O45" s="151"/>
      <c r="P45" s="89"/>
      <c r="Q45" s="151"/>
    </row>
    <row r="46" spans="1:11" ht="12.75">
      <c r="A46" s="92"/>
      <c r="C46" s="615"/>
      <c r="D46" s="865" t="str">
        <f>IF(ПолуфиналНеявка(K34),"Х",IF(J34=0,CONCATENATE(G36,",",G37),IF(J34=1,G37,IF(J34=2,G29,"Х"))))</f>
        <v>ТАРАНОВА</v>
      </c>
      <c r="E46" s="865"/>
      <c r="F46" s="865"/>
      <c r="G46" s="93"/>
      <c r="H46" s="94"/>
      <c r="I46" s="95"/>
      <c r="J46" s="95"/>
      <c r="K46" s="96"/>
    </row>
    <row r="47" spans="3:11" ht="12.75">
      <c r="C47" s="615"/>
      <c r="D47" s="757"/>
      <c r="E47" s="757"/>
      <c r="F47" s="757"/>
      <c r="G47" s="65"/>
      <c r="H47" s="64"/>
      <c r="I47" s="64"/>
      <c r="J47" s="64"/>
      <c r="K47" s="76"/>
    </row>
    <row r="48" spans="3:11" ht="12.75">
      <c r="C48" s="615"/>
      <c r="D48" s="89"/>
      <c r="E48" s="89"/>
      <c r="F48" s="89"/>
      <c r="G48" s="757"/>
      <c r="H48" s="757"/>
      <c r="I48" s="757"/>
      <c r="J48" s="87"/>
      <c r="K48" s="162"/>
    </row>
    <row r="49" spans="1:11" ht="12.75" customHeight="1">
      <c r="A49" s="92" t="s">
        <v>16</v>
      </c>
      <c r="C49" s="8"/>
      <c r="D49" s="102"/>
      <c r="E49" s="102"/>
      <c r="F49" s="817" t="str">
        <f>IF(Установка!$C$11="","",UPPER(Установка!$C$11))</f>
        <v>ЗЕЛИНГЕР М.М.</v>
      </c>
      <c r="G49" s="817"/>
      <c r="H49" s="817"/>
      <c r="I49" s="817"/>
      <c r="J49" s="103"/>
      <c r="K49" s="101"/>
    </row>
    <row r="50" spans="3:11" ht="12.75" customHeight="1">
      <c r="C50" s="8"/>
      <c r="D50" s="104" t="s">
        <v>17</v>
      </c>
      <c r="E50" s="104"/>
      <c r="F50" s="827" t="s">
        <v>18</v>
      </c>
      <c r="G50" s="827"/>
      <c r="H50" s="827"/>
      <c r="I50" s="827"/>
      <c r="J50" s="105"/>
      <c r="K50" s="96"/>
    </row>
    <row r="51" spans="3:10" ht="12.75">
      <c r="C51" s="8"/>
      <c r="D51" s="104"/>
      <c r="E51" s="104"/>
      <c r="F51" s="828"/>
      <c r="G51" s="828"/>
      <c r="H51" s="828"/>
      <c r="I51" s="828"/>
      <c r="J51" s="107"/>
    </row>
    <row r="52" spans="1:10" ht="12.75">
      <c r="A52" s="92" t="s">
        <v>19</v>
      </c>
      <c r="C52" s="8"/>
      <c r="D52" s="102"/>
      <c r="E52" s="102"/>
      <c r="F52" s="817" t="str">
        <f>IF(Установка!$C$12="","",UPPER(Установка!$C$12))</f>
        <v>ГУТОВ К.Г.</v>
      </c>
      <c r="G52" s="817"/>
      <c r="H52" s="817"/>
      <c r="I52" s="817"/>
      <c r="J52" s="103"/>
    </row>
    <row r="53" spans="3:10" ht="12.75" customHeight="1">
      <c r="C53" s="8"/>
      <c r="D53" s="104" t="s">
        <v>17</v>
      </c>
      <c r="E53" s="104"/>
      <c r="F53" s="825" t="s">
        <v>18</v>
      </c>
      <c r="G53" s="825"/>
      <c r="H53" s="825"/>
      <c r="I53" s="825"/>
      <c r="J53" s="105"/>
    </row>
  </sheetData>
  <sheetProtection sheet="1" objects="1" scenarios="1" selectLockedCells="1"/>
  <mergeCells count="109">
    <mergeCell ref="G29:I29"/>
    <mergeCell ref="G21:I21"/>
    <mergeCell ref="G28:I28"/>
    <mergeCell ref="B1:P1"/>
    <mergeCell ref="B2:P2"/>
    <mergeCell ref="B3:P3"/>
    <mergeCell ref="B4:P4"/>
    <mergeCell ref="K19:L19"/>
    <mergeCell ref="G20:I20"/>
    <mergeCell ref="A6:B6"/>
    <mergeCell ref="H42:I42"/>
    <mergeCell ref="J33:L33"/>
    <mergeCell ref="D42:F42"/>
    <mergeCell ref="K34:L34"/>
    <mergeCell ref="H30:I30"/>
    <mergeCell ref="G36:I36"/>
    <mergeCell ref="F33:F35"/>
    <mergeCell ref="F53:I53"/>
    <mergeCell ref="F49:I49"/>
    <mergeCell ref="F50:I50"/>
    <mergeCell ref="G48:I48"/>
    <mergeCell ref="F52:I52"/>
    <mergeCell ref="F51:I51"/>
    <mergeCell ref="C30:C31"/>
    <mergeCell ref="A9:A11"/>
    <mergeCell ref="B9:B11"/>
    <mergeCell ref="A14:A15"/>
    <mergeCell ref="C14:C15"/>
    <mergeCell ref="C12:C13"/>
    <mergeCell ref="B14:B15"/>
    <mergeCell ref="A12:A13"/>
    <mergeCell ref="B12:B13"/>
    <mergeCell ref="C9:C11"/>
    <mergeCell ref="D6:E6"/>
    <mergeCell ref="H5:K5"/>
    <mergeCell ref="L5:O5"/>
    <mergeCell ref="O8:P8"/>
    <mergeCell ref="L8:N8"/>
    <mergeCell ref="I8:K8"/>
    <mergeCell ref="P5:Q5"/>
    <mergeCell ref="I6:K6"/>
    <mergeCell ref="O6:Q6"/>
    <mergeCell ref="D47:F47"/>
    <mergeCell ref="D17:D19"/>
    <mergeCell ref="D33:D35"/>
    <mergeCell ref="D25:D27"/>
    <mergeCell ref="F17:F19"/>
    <mergeCell ref="G44:I44"/>
    <mergeCell ref="D46:F46"/>
    <mergeCell ref="G43:I43"/>
    <mergeCell ref="D45:F45"/>
    <mergeCell ref="H45:I45"/>
    <mergeCell ref="A25:A27"/>
    <mergeCell ref="C17:C19"/>
    <mergeCell ref="C22:C23"/>
    <mergeCell ref="C20:C21"/>
    <mergeCell ref="F8:H8"/>
    <mergeCell ref="G12:I12"/>
    <mergeCell ref="C25:C27"/>
    <mergeCell ref="D9:D11"/>
    <mergeCell ref="E9:E11"/>
    <mergeCell ref="F9:F11"/>
    <mergeCell ref="J17:L17"/>
    <mergeCell ref="A28:A29"/>
    <mergeCell ref="A30:A31"/>
    <mergeCell ref="A33:A35"/>
    <mergeCell ref="A36:A37"/>
    <mergeCell ref="F25:F27"/>
    <mergeCell ref="A17:A19"/>
    <mergeCell ref="A20:A21"/>
    <mergeCell ref="A22:A23"/>
    <mergeCell ref="J32:L32"/>
    <mergeCell ref="A38:A39"/>
    <mergeCell ref="K35:L35"/>
    <mergeCell ref="B17:B19"/>
    <mergeCell ref="B20:B21"/>
    <mergeCell ref="B22:B23"/>
    <mergeCell ref="B36:B37"/>
    <mergeCell ref="B25:B27"/>
    <mergeCell ref="B28:B29"/>
    <mergeCell ref="B30:B31"/>
    <mergeCell ref="C28:C29"/>
    <mergeCell ref="B38:B39"/>
    <mergeCell ref="B33:B35"/>
    <mergeCell ref="C33:C35"/>
    <mergeCell ref="C38:C39"/>
    <mergeCell ref="C36:C37"/>
    <mergeCell ref="Q41:Q42"/>
    <mergeCell ref="M40:P40"/>
    <mergeCell ref="D41:F41"/>
    <mergeCell ref="G37:I37"/>
    <mergeCell ref="H38:I38"/>
    <mergeCell ref="Q43:Q44"/>
    <mergeCell ref="L41:L42"/>
    <mergeCell ref="M41:P41"/>
    <mergeCell ref="M42:P42"/>
    <mergeCell ref="L43:L44"/>
    <mergeCell ref="M44:P44"/>
    <mergeCell ref="M43:P43"/>
    <mergeCell ref="G13:I13"/>
    <mergeCell ref="H14:I14"/>
    <mergeCell ref="H22:I22"/>
    <mergeCell ref="Q10:Q11"/>
    <mergeCell ref="N27:P27"/>
    <mergeCell ref="M24:P24"/>
    <mergeCell ref="N26:P26"/>
    <mergeCell ref="J16:L16"/>
    <mergeCell ref="K18:L18"/>
    <mergeCell ref="M25:P25"/>
  </mergeCells>
  <conditionalFormatting sqref="E12:E15 E20:E23 E28:E31 E36:E40">
    <cfRule type="expression" priority="1" dxfId="207" stopIfTrue="1">
      <formula>COUNTIF($M$41:$P$44,D12)&gt;0</formula>
    </cfRule>
  </conditionalFormatting>
  <conditionalFormatting sqref="E16 E24 E32">
    <cfRule type="expression" priority="2" dxfId="207" stopIfTrue="1">
      <formula>COUNTIF($M$41:$P$44,D15)&gt;0</formula>
    </cfRule>
  </conditionalFormatting>
  <conditionalFormatting sqref="G36:I36 G20:I20 G28:I28 G12:I12">
    <cfRule type="expression" priority="3" dxfId="207" stopIfTrue="1">
      <formula>COUNTIF($M$41:$P$44,G12)&gt;0</formula>
    </cfRule>
    <cfRule type="expression" priority="4" dxfId="209" stopIfTrue="1">
      <formula>LEFT($G12,4)="поб."</formula>
    </cfRule>
  </conditionalFormatting>
  <conditionalFormatting sqref="G13:I13 G21:I21 G29:I29 G37:I37">
    <cfRule type="expression" priority="5" dxfId="207" stopIfTrue="1">
      <formula>COUNTIF($M$41:$P$44,G13)&gt;0</formula>
    </cfRule>
    <cfRule type="expression" priority="6" dxfId="209" stopIfTrue="1">
      <formula>LEFT($G12,4)="поб."</formula>
    </cfRule>
  </conditionalFormatting>
  <conditionalFormatting sqref="J16:L16 J32:L32">
    <cfRule type="expression" priority="7" dxfId="207" stopIfTrue="1">
      <formula>COUNTIF($M$41:$P$44,J16)&gt;0</formula>
    </cfRule>
    <cfRule type="expression" priority="8" dxfId="209" stopIfTrue="1">
      <formula>LEFT($J16,4)="поб."</formula>
    </cfRule>
  </conditionalFormatting>
  <conditionalFormatting sqref="J17:L17 J33:L33">
    <cfRule type="expression" priority="9" dxfId="207" stopIfTrue="1">
      <formula>COUNTIF($M$41:$P$44,J17)&gt;0</formula>
    </cfRule>
    <cfRule type="expression" priority="10" dxfId="209" stopIfTrue="1">
      <formula>LEFT($J16,4)="поб."</formula>
    </cfRule>
  </conditionalFormatting>
  <conditionalFormatting sqref="A22:A23 A30:A31">
    <cfRule type="expression" priority="11" dxfId="207" stopIfTrue="1">
      <formula>COUNTIF($M$41:$P$44,$D22)&gt;0</formula>
    </cfRule>
  </conditionalFormatting>
  <conditionalFormatting sqref="D28:D32 D36:D40 K18 K34:L34 D12:D16 D20:D24 N26:P26">
    <cfRule type="expression" priority="12" dxfId="207" stopIfTrue="1">
      <formula>COUNTIF($M$41:$P$44,D12)&gt;0</formula>
    </cfRule>
  </conditionalFormatting>
  <conditionalFormatting sqref="C32 C24 C16 C41">
    <cfRule type="expression" priority="13" dxfId="211" stopIfTrue="1">
      <formula>COUNTIF($C$12:$C$39,C16)&gt;1</formula>
    </cfRule>
  </conditionalFormatting>
  <conditionalFormatting sqref="G14 G22 M26 G38 J18 J34 G30">
    <cfRule type="cellIs" priority="14" dxfId="212" operator="notEqual" stopIfTrue="1">
      <formula>0</formula>
    </cfRule>
  </conditionalFormatting>
  <conditionalFormatting sqref="C40">
    <cfRule type="expression" priority="15" dxfId="211" stopIfTrue="1">
      <formula>COUNTIF($C$12:$C$58,C40)&gt;1</formula>
    </cfRule>
  </conditionalFormatting>
  <conditionalFormatting sqref="D47:K47">
    <cfRule type="expression" priority="16" dxfId="213" stopIfTrue="1">
      <formula>$C$44=TRUE</formula>
    </cfRule>
  </conditionalFormatting>
  <conditionalFormatting sqref="C14 C12 C22 C20 C30 C28 C38 C36">
    <cfRule type="expression" priority="17" dxfId="211" stopIfTrue="1">
      <formula>AND(C12&lt;&gt;"Х",C12&lt;&gt;"х",COUNTIF($C$12:$C$58,C12)&gt;1)</formula>
    </cfRule>
  </conditionalFormatting>
  <conditionalFormatting sqref="H45:I46 G46 D43:F44 J41:K46 G41:I42">
    <cfRule type="expression" priority="18" dxfId="213" stopIfTrue="1">
      <formula>$AA$1=TRUE</formula>
    </cfRule>
  </conditionalFormatting>
  <conditionalFormatting sqref="G45">
    <cfRule type="expression" priority="19" dxfId="213" stopIfTrue="1">
      <formula>$AA$1=TRUE</formula>
    </cfRule>
    <cfRule type="cellIs" priority="20" dxfId="13" operator="notEqual" stopIfTrue="1">
      <formula>0</formula>
    </cfRule>
  </conditionalFormatting>
  <conditionalFormatting sqref="D41:F41 D45:F45">
    <cfRule type="expression" priority="21" dxfId="213" stopIfTrue="1">
      <formula>$AA$1=TRUE</formula>
    </cfRule>
    <cfRule type="expression" priority="22" dxfId="209" stopIfTrue="1">
      <formula>LEFT($D41,3)="пр."</formula>
    </cfRule>
  </conditionalFormatting>
  <conditionalFormatting sqref="D42:F42 D46:F46">
    <cfRule type="expression" priority="23" dxfId="213" stopIfTrue="1">
      <formula>$AA$1=TRUE</formula>
    </cfRule>
    <cfRule type="expression" priority="24" dxfId="209" stopIfTrue="1">
      <formula>LEFT($D41,3)="пр."</formula>
    </cfRule>
  </conditionalFormatting>
  <conditionalFormatting sqref="A12:A15 A20:A21 A28:A29 A36:A39">
    <cfRule type="expression" priority="25" dxfId="207" stopIfTrue="1">
      <formula>COUNTIF($M$41:$P$44,$D12)&gt;0</formula>
    </cfRule>
  </conditionalFormatting>
  <conditionalFormatting sqref="M24:P24">
    <cfRule type="expression" priority="26" dxfId="207" stopIfTrue="1">
      <formula>COUNTIF($M$41:$P$44,M24)&gt;0</formula>
    </cfRule>
    <cfRule type="expression" priority="27" dxfId="209" stopIfTrue="1">
      <formula>LEFT($M24,4)="поб."</formula>
    </cfRule>
  </conditionalFormatting>
  <conditionalFormatting sqref="M25:P25">
    <cfRule type="expression" priority="28" dxfId="207" stopIfTrue="1">
      <formula>COUNTIF($M$41:$P$44,M25)&gt;0</formula>
    </cfRule>
    <cfRule type="expression" priority="29" dxfId="209" stopIfTrue="1">
      <formula>LEFT($M24,4)="поб."</formula>
    </cfRule>
  </conditionalFormatting>
  <conditionalFormatting sqref="G43:I43">
    <cfRule type="expression" priority="30" dxfId="213" stopIfTrue="1">
      <formula>$AA$1=TRUE</formula>
    </cfRule>
    <cfRule type="expression" priority="31" dxfId="209" stopIfTrue="1">
      <formula>LEFT($G43,4)="поб."</formula>
    </cfRule>
  </conditionalFormatting>
  <conditionalFormatting sqref="G44:I44">
    <cfRule type="expression" priority="32" dxfId="213" stopIfTrue="1">
      <formula>$AA$1=TRUE</formula>
    </cfRule>
    <cfRule type="expression" priority="33" dxfId="209" stopIfTrue="1">
      <formula>LEFT($G43,4)="поб."</formula>
    </cfRule>
  </conditionalFormatting>
  <printOptions horizontalCentered="1"/>
  <pageMargins left="0.17" right="0.1968503937007874" top="0.55" bottom="0.22" header="0" footer="0"/>
  <pageSetup fitToHeight="1" fitToWidth="1"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codeName="Лист2">
    <pageSetUpPr fitToPage="1"/>
  </sheetPr>
  <dimension ref="A3:O287"/>
  <sheetViews>
    <sheetView showGridLines="0" showRowColHeaders="0" zoomScale="115" zoomScaleNormal="115" zoomScalePageLayoutView="0" workbookViewId="0" topLeftCell="A1">
      <pane ySplit="12" topLeftCell="A13" activePane="bottomLeft" state="frozen"/>
      <selection pane="topLeft" activeCell="A1" sqref="A1"/>
      <selection pane="bottomLeft" activeCell="B13" sqref="B13:D13"/>
    </sheetView>
  </sheetViews>
  <sheetFormatPr defaultColWidth="9.00390625" defaultRowHeight="12.75"/>
  <cols>
    <col min="1" max="1" width="3.125" style="347" customWidth="1"/>
    <col min="2" max="2" width="13.875" style="347" customWidth="1"/>
    <col min="3" max="3" width="22.25390625" style="347" customWidth="1"/>
    <col min="4" max="4" width="17.375" style="348" customWidth="1"/>
    <col min="5" max="5" width="13.75390625" style="348" customWidth="1"/>
    <col min="6" max="6" width="11.875" style="348" customWidth="1"/>
    <col min="7" max="7" width="9.875" style="348" customWidth="1"/>
    <col min="8" max="8" width="11.125" style="348" customWidth="1"/>
    <col min="9" max="16384" width="9.125" style="347" customWidth="1"/>
  </cols>
  <sheetData>
    <row r="1" ht="12.75"/>
    <row r="2" ht="12.75" hidden="1"/>
    <row r="3" spans="1:15" ht="12.75">
      <c r="A3" s="926" t="s">
        <v>105</v>
      </c>
      <c r="B3" s="926"/>
      <c r="C3" s="926"/>
      <c r="D3" s="926"/>
      <c r="E3" s="926"/>
      <c r="F3" s="926"/>
      <c r="G3" s="926"/>
      <c r="H3" s="926"/>
      <c r="I3" s="350"/>
      <c r="J3" s="350"/>
      <c r="K3" s="350"/>
      <c r="L3" s="350"/>
      <c r="M3" s="350"/>
      <c r="N3" s="350"/>
      <c r="O3" s="350"/>
    </row>
    <row r="4" spans="1:15" ht="12.75">
      <c r="A4" s="349"/>
      <c r="B4" s="349"/>
      <c r="C4" s="930" t="s">
        <v>106</v>
      </c>
      <c r="D4" s="930"/>
      <c r="E4" s="930"/>
      <c r="F4" s="930"/>
      <c r="G4" s="930"/>
      <c r="H4" s="349"/>
      <c r="I4" s="350"/>
      <c r="J4" s="350"/>
      <c r="K4" s="350"/>
      <c r="L4" s="350"/>
      <c r="M4" s="350"/>
      <c r="N4" s="350"/>
      <c r="O4" s="350"/>
    </row>
    <row r="5" spans="1:8" ht="15">
      <c r="A5" s="351"/>
      <c r="B5" s="351"/>
      <c r="C5" s="927" t="str">
        <f>IF(Установка!C3="","",UPPER(Установка!C3))</f>
        <v>ПЕРВЕНСТВО ЧЕЛЯБИНСКОЙ ОБЛАСТИ</v>
      </c>
      <c r="D5" s="927"/>
      <c r="E5" s="927"/>
      <c r="F5" s="927"/>
      <c r="G5" s="927"/>
      <c r="H5" s="352"/>
    </row>
    <row r="6" spans="3:7" s="353" customFormat="1" ht="12.75">
      <c r="C6" s="928"/>
      <c r="D6" s="928"/>
      <c r="E6" s="928"/>
      <c r="F6" s="928"/>
      <c r="G6" s="928"/>
    </row>
    <row r="7" spans="4:10" s="354" customFormat="1" ht="12.75">
      <c r="D7" s="355" t="s">
        <v>82</v>
      </c>
      <c r="E7" s="929" t="str">
        <f>IF(Установка!$C$4="","",UPPER(Установка!$C$4))</f>
        <v>ДО 13 ЛЕТ</v>
      </c>
      <c r="F7" s="929"/>
      <c r="G7" s="355"/>
      <c r="H7" s="356" t="str">
        <f>IF(Установка!$C$5="","Ю/Д/М/Ж/СМ",UPPER(Установка!$C$5))</f>
        <v>ДЕВУШКИ</v>
      </c>
      <c r="I7" s="357"/>
      <c r="J7" s="357"/>
    </row>
    <row r="8" spans="1:8" s="358" customFormat="1" ht="12">
      <c r="A8" s="913" t="s">
        <v>31</v>
      </c>
      <c r="B8" s="913"/>
      <c r="C8" s="655" t="str">
        <f>IF(Установка!C6="","",UPPER(Установка!C6))</f>
        <v>ЧЕЛЯБИНСК</v>
      </c>
      <c r="D8" s="359" t="s">
        <v>32</v>
      </c>
      <c r="E8" s="360" t="str">
        <f>IF(Установка!C7="","",UPPER(Установка!C7))</f>
        <v>07-13.09.2015</v>
      </c>
      <c r="G8" s="361" t="s">
        <v>33</v>
      </c>
      <c r="H8" s="360" t="str">
        <f>IF(Установка!$C$8="","",UPPER(Установка!$C$8))</f>
        <v>IIIВ</v>
      </c>
    </row>
    <row r="9" spans="1:6" s="363" customFormat="1" ht="5.25" customHeight="1">
      <c r="A9" s="923"/>
      <c r="B9" s="923"/>
      <c r="C9" s="923"/>
      <c r="D9" s="362"/>
      <c r="F9" s="364"/>
    </row>
    <row r="10" ht="6.75" customHeight="1" thickBot="1">
      <c r="C10" s="365"/>
    </row>
    <row r="11" spans="1:8" ht="33.75" customHeight="1">
      <c r="A11" s="924" t="s">
        <v>107</v>
      </c>
      <c r="B11" s="931" t="s">
        <v>39</v>
      </c>
      <c r="C11" s="931"/>
      <c r="D11" s="932"/>
      <c r="E11" s="911" t="s">
        <v>40</v>
      </c>
      <c r="F11" s="911" t="s">
        <v>108</v>
      </c>
      <c r="G11" s="911" t="s">
        <v>41</v>
      </c>
      <c r="H11" s="366" t="s">
        <v>42</v>
      </c>
    </row>
    <row r="12" spans="1:8" s="348" customFormat="1" ht="10.5" customHeight="1" thickBot="1">
      <c r="A12" s="925"/>
      <c r="B12" s="933"/>
      <c r="C12" s="933"/>
      <c r="D12" s="934"/>
      <c r="E12" s="912"/>
      <c r="F12" s="912"/>
      <c r="G12" s="912"/>
      <c r="H12" s="367">
        <f>IF(Установка!C10="","",Установка!C10)</f>
        <v>42248</v>
      </c>
    </row>
    <row r="13" spans="1:8" s="369" customFormat="1" ht="12.75" customHeight="1">
      <c r="A13" s="915">
        <v>1</v>
      </c>
      <c r="B13" s="917" t="s">
        <v>193</v>
      </c>
      <c r="C13" s="917"/>
      <c r="D13" s="918"/>
      <c r="E13" s="651">
        <v>38140</v>
      </c>
      <c r="F13" s="368" t="s">
        <v>209</v>
      </c>
      <c r="G13" s="368">
        <v>30693</v>
      </c>
      <c r="H13" s="919">
        <v>112</v>
      </c>
    </row>
    <row r="14" spans="1:8" s="369" customFormat="1" ht="13.5" thickBot="1">
      <c r="A14" s="916"/>
      <c r="B14" s="921" t="s">
        <v>205</v>
      </c>
      <c r="C14" s="921"/>
      <c r="D14" s="922"/>
      <c r="E14" s="652">
        <v>38025</v>
      </c>
      <c r="F14" s="370" t="s">
        <v>209</v>
      </c>
      <c r="G14" s="370">
        <v>29110</v>
      </c>
      <c r="H14" s="920"/>
    </row>
    <row r="15" spans="1:8" s="369" customFormat="1" ht="12.75">
      <c r="A15" s="915">
        <v>2</v>
      </c>
      <c r="B15" s="917" t="s">
        <v>196</v>
      </c>
      <c r="C15" s="917"/>
      <c r="D15" s="918"/>
      <c r="E15" s="653">
        <v>37737</v>
      </c>
      <c r="F15" s="371" t="s">
        <v>207</v>
      </c>
      <c r="G15" s="371">
        <v>27705</v>
      </c>
      <c r="H15" s="919">
        <v>59</v>
      </c>
    </row>
    <row r="16" spans="1:8" s="369" customFormat="1" ht="13.5" thickBot="1">
      <c r="A16" s="916"/>
      <c r="B16" s="921" t="s">
        <v>202</v>
      </c>
      <c r="C16" s="921"/>
      <c r="D16" s="922"/>
      <c r="E16" s="652">
        <v>37952</v>
      </c>
      <c r="F16" s="370" t="s">
        <v>207</v>
      </c>
      <c r="G16" s="370">
        <v>28146</v>
      </c>
      <c r="H16" s="920"/>
    </row>
    <row r="17" spans="1:8" s="369" customFormat="1" ht="12.75">
      <c r="A17" s="915">
        <v>3</v>
      </c>
      <c r="B17" s="917" t="s">
        <v>191</v>
      </c>
      <c r="C17" s="917"/>
      <c r="D17" s="918"/>
      <c r="E17" s="653">
        <v>38405</v>
      </c>
      <c r="F17" s="371" t="s">
        <v>175</v>
      </c>
      <c r="G17" s="371">
        <v>31323</v>
      </c>
      <c r="H17" s="919">
        <v>50</v>
      </c>
    </row>
    <row r="18" spans="1:8" s="369" customFormat="1" ht="13.5" thickBot="1">
      <c r="A18" s="916"/>
      <c r="B18" s="921" t="s">
        <v>199</v>
      </c>
      <c r="C18" s="921"/>
      <c r="D18" s="922"/>
      <c r="E18" s="652">
        <v>38036</v>
      </c>
      <c r="F18" s="370" t="s">
        <v>175</v>
      </c>
      <c r="G18" s="370">
        <v>30039</v>
      </c>
      <c r="H18" s="920"/>
    </row>
    <row r="19" spans="1:8" s="369" customFormat="1" ht="12.75">
      <c r="A19" s="915">
        <v>4</v>
      </c>
      <c r="B19" s="917" t="s">
        <v>186</v>
      </c>
      <c r="C19" s="917"/>
      <c r="D19" s="918"/>
      <c r="E19" s="651">
        <v>38155</v>
      </c>
      <c r="F19" s="368" t="s">
        <v>207</v>
      </c>
      <c r="G19" s="368">
        <v>31454</v>
      </c>
      <c r="H19" s="919">
        <v>41</v>
      </c>
    </row>
    <row r="20" spans="1:8" s="369" customFormat="1" ht="13.5" thickBot="1">
      <c r="A20" s="916"/>
      <c r="B20" s="921" t="s">
        <v>188</v>
      </c>
      <c r="C20" s="921"/>
      <c r="D20" s="922"/>
      <c r="E20" s="654">
        <v>38139</v>
      </c>
      <c r="F20" s="372" t="s">
        <v>207</v>
      </c>
      <c r="G20" s="372">
        <v>29149</v>
      </c>
      <c r="H20" s="920"/>
    </row>
    <row r="21" spans="1:8" s="369" customFormat="1" ht="12.75">
      <c r="A21" s="915">
        <v>5</v>
      </c>
      <c r="B21" s="917" t="s">
        <v>180</v>
      </c>
      <c r="C21" s="917"/>
      <c r="D21" s="918"/>
      <c r="E21" s="653">
        <v>38132</v>
      </c>
      <c r="F21" s="371" t="s">
        <v>207</v>
      </c>
      <c r="G21" s="371">
        <v>29430</v>
      </c>
      <c r="H21" s="919">
        <v>19</v>
      </c>
    </row>
    <row r="22" spans="1:8" s="369" customFormat="1" ht="13.5" thickBot="1">
      <c r="A22" s="916"/>
      <c r="B22" s="921" t="s">
        <v>183</v>
      </c>
      <c r="C22" s="921"/>
      <c r="D22" s="922"/>
      <c r="E22" s="654">
        <v>38491</v>
      </c>
      <c r="F22" s="372" t="s">
        <v>207</v>
      </c>
      <c r="G22" s="372">
        <v>31079</v>
      </c>
      <c r="H22" s="920"/>
    </row>
    <row r="23" spans="1:8" s="369" customFormat="1" ht="12.75">
      <c r="A23" s="915">
        <v>6</v>
      </c>
      <c r="B23" s="917" t="s">
        <v>195</v>
      </c>
      <c r="C23" s="917"/>
      <c r="D23" s="918"/>
      <c r="E23" s="651">
        <v>38184</v>
      </c>
      <c r="F23" s="368" t="s">
        <v>175</v>
      </c>
      <c r="G23" s="368">
        <v>31482</v>
      </c>
      <c r="H23" s="919">
        <v>5</v>
      </c>
    </row>
    <row r="24" spans="1:8" s="369" customFormat="1" ht="13.5" thickBot="1">
      <c r="A24" s="916"/>
      <c r="B24" s="921" t="s">
        <v>197</v>
      </c>
      <c r="C24" s="921"/>
      <c r="D24" s="922"/>
      <c r="E24" s="652">
        <v>38619</v>
      </c>
      <c r="F24" s="370" t="s">
        <v>175</v>
      </c>
      <c r="G24" s="370">
        <v>31641</v>
      </c>
      <c r="H24" s="920"/>
    </row>
    <row r="25" spans="1:8" s="369" customFormat="1" ht="12.75" hidden="1">
      <c r="A25" s="915">
        <v>7</v>
      </c>
      <c r="B25" s="917"/>
      <c r="C25" s="917"/>
      <c r="D25" s="918"/>
      <c r="E25" s="653"/>
      <c r="F25" s="371"/>
      <c r="G25" s="371"/>
      <c r="H25" s="919"/>
    </row>
    <row r="26" spans="1:8" s="369" customFormat="1" ht="13.5" hidden="1" thickBot="1">
      <c r="A26" s="916"/>
      <c r="B26" s="921"/>
      <c r="C26" s="921"/>
      <c r="D26" s="922"/>
      <c r="E26" s="654"/>
      <c r="F26" s="372"/>
      <c r="G26" s="372"/>
      <c r="H26" s="920"/>
    </row>
    <row r="27" spans="1:8" s="369" customFormat="1" ht="12.75" hidden="1">
      <c r="A27" s="915">
        <v>8</v>
      </c>
      <c r="B27" s="917"/>
      <c r="C27" s="917"/>
      <c r="D27" s="918"/>
      <c r="E27" s="653"/>
      <c r="F27" s="371"/>
      <c r="G27" s="371"/>
      <c r="H27" s="919"/>
    </row>
    <row r="28" spans="1:8" s="369" customFormat="1" ht="13.5" hidden="1" thickBot="1">
      <c r="A28" s="916"/>
      <c r="B28" s="921"/>
      <c r="C28" s="921"/>
      <c r="D28" s="922"/>
      <c r="E28" s="652"/>
      <c r="F28" s="370"/>
      <c r="G28" s="370"/>
      <c r="H28" s="920"/>
    </row>
    <row r="29" spans="1:8" s="369" customFormat="1" ht="12.75" hidden="1">
      <c r="A29" s="915">
        <v>9</v>
      </c>
      <c r="B29" s="917"/>
      <c r="C29" s="917"/>
      <c r="D29" s="918"/>
      <c r="E29" s="653"/>
      <c r="F29" s="371"/>
      <c r="G29" s="371"/>
      <c r="H29" s="919"/>
    </row>
    <row r="30" spans="1:8" s="369" customFormat="1" ht="13.5" hidden="1" thickBot="1">
      <c r="A30" s="916"/>
      <c r="B30" s="921"/>
      <c r="C30" s="921"/>
      <c r="D30" s="922"/>
      <c r="E30" s="652"/>
      <c r="F30" s="370"/>
      <c r="G30" s="370"/>
      <c r="H30" s="920"/>
    </row>
    <row r="31" spans="1:8" s="369" customFormat="1" ht="12.75" hidden="1">
      <c r="A31" s="915">
        <v>10</v>
      </c>
      <c r="B31" s="917"/>
      <c r="C31" s="917"/>
      <c r="D31" s="918"/>
      <c r="E31" s="653"/>
      <c r="F31" s="371"/>
      <c r="G31" s="371"/>
      <c r="H31" s="919"/>
    </row>
    <row r="32" spans="1:8" s="369" customFormat="1" ht="13.5" hidden="1" thickBot="1">
      <c r="A32" s="916"/>
      <c r="B32" s="921"/>
      <c r="C32" s="921"/>
      <c r="D32" s="922"/>
      <c r="E32" s="652"/>
      <c r="F32" s="370"/>
      <c r="G32" s="370"/>
      <c r="H32" s="920"/>
    </row>
    <row r="33" spans="1:8" s="369" customFormat="1" ht="12.75" hidden="1">
      <c r="A33" s="915">
        <v>11</v>
      </c>
      <c r="B33" s="917"/>
      <c r="C33" s="917"/>
      <c r="D33" s="918"/>
      <c r="E33" s="651"/>
      <c r="F33" s="368"/>
      <c r="G33" s="368"/>
      <c r="H33" s="919"/>
    </row>
    <row r="34" spans="1:8" s="369" customFormat="1" ht="13.5" hidden="1" thickBot="1">
      <c r="A34" s="916"/>
      <c r="B34" s="921"/>
      <c r="C34" s="921"/>
      <c r="D34" s="922"/>
      <c r="E34" s="652"/>
      <c r="F34" s="370"/>
      <c r="G34" s="370"/>
      <c r="H34" s="920"/>
    </row>
    <row r="35" spans="1:8" s="369" customFormat="1" ht="12.75" hidden="1">
      <c r="A35" s="915">
        <v>12</v>
      </c>
      <c r="B35" s="917"/>
      <c r="C35" s="917"/>
      <c r="D35" s="918"/>
      <c r="E35" s="653"/>
      <c r="F35" s="371"/>
      <c r="G35" s="371"/>
      <c r="H35" s="919"/>
    </row>
    <row r="36" spans="1:8" s="369" customFormat="1" ht="13.5" hidden="1" thickBot="1">
      <c r="A36" s="916"/>
      <c r="B36" s="921"/>
      <c r="C36" s="921"/>
      <c r="D36" s="922"/>
      <c r="E36" s="652"/>
      <c r="F36" s="370"/>
      <c r="G36" s="370"/>
      <c r="H36" s="920"/>
    </row>
    <row r="37" spans="1:8" s="369" customFormat="1" ht="12.75" hidden="1">
      <c r="A37" s="915">
        <v>13</v>
      </c>
      <c r="B37" s="917"/>
      <c r="C37" s="917"/>
      <c r="D37" s="918"/>
      <c r="E37" s="653"/>
      <c r="F37" s="371"/>
      <c r="G37" s="371"/>
      <c r="H37" s="919"/>
    </row>
    <row r="38" spans="1:8" s="369" customFormat="1" ht="13.5" hidden="1" thickBot="1">
      <c r="A38" s="916"/>
      <c r="B38" s="921"/>
      <c r="C38" s="921"/>
      <c r="D38" s="922"/>
      <c r="E38" s="652"/>
      <c r="F38" s="370"/>
      <c r="G38" s="370"/>
      <c r="H38" s="920"/>
    </row>
    <row r="39" spans="1:8" s="369" customFormat="1" ht="12.75" hidden="1">
      <c r="A39" s="915">
        <v>14</v>
      </c>
      <c r="B39" s="917"/>
      <c r="C39" s="917"/>
      <c r="D39" s="918"/>
      <c r="E39" s="651"/>
      <c r="F39" s="368"/>
      <c r="G39" s="368"/>
      <c r="H39" s="919"/>
    </row>
    <row r="40" spans="1:8" s="369" customFormat="1" ht="13.5" hidden="1" thickBot="1">
      <c r="A40" s="916"/>
      <c r="B40" s="921"/>
      <c r="C40" s="921"/>
      <c r="D40" s="922"/>
      <c r="E40" s="652"/>
      <c r="F40" s="370"/>
      <c r="G40" s="370"/>
      <c r="H40" s="920"/>
    </row>
    <row r="41" spans="1:8" s="369" customFormat="1" ht="12.75" hidden="1">
      <c r="A41" s="915">
        <v>15</v>
      </c>
      <c r="B41" s="917"/>
      <c r="C41" s="917"/>
      <c r="D41" s="918"/>
      <c r="E41" s="653"/>
      <c r="F41" s="371"/>
      <c r="G41" s="371"/>
      <c r="H41" s="919"/>
    </row>
    <row r="42" spans="1:8" s="369" customFormat="1" ht="13.5" hidden="1" thickBot="1">
      <c r="A42" s="916"/>
      <c r="B42" s="921"/>
      <c r="C42" s="921"/>
      <c r="D42" s="922"/>
      <c r="E42" s="652"/>
      <c r="F42" s="370"/>
      <c r="G42" s="370"/>
      <c r="H42" s="920"/>
    </row>
    <row r="43" spans="1:8" s="369" customFormat="1" ht="12.75" hidden="1">
      <c r="A43" s="915">
        <v>16</v>
      </c>
      <c r="B43" s="917"/>
      <c r="C43" s="917"/>
      <c r="D43" s="918"/>
      <c r="E43" s="653"/>
      <c r="F43" s="371"/>
      <c r="G43" s="371"/>
      <c r="H43" s="919"/>
    </row>
    <row r="44" spans="1:8" s="369" customFormat="1" ht="13.5" hidden="1" thickBot="1">
      <c r="A44" s="916"/>
      <c r="B44" s="921"/>
      <c r="C44" s="921"/>
      <c r="D44" s="922"/>
      <c r="E44" s="654"/>
      <c r="F44" s="372"/>
      <c r="G44" s="372"/>
      <c r="H44" s="920"/>
    </row>
    <row r="45" spans="1:8" s="369" customFormat="1" ht="12.75" hidden="1">
      <c r="A45" s="915">
        <v>17</v>
      </c>
      <c r="B45" s="917"/>
      <c r="C45" s="917"/>
      <c r="D45" s="918"/>
      <c r="E45" s="651"/>
      <c r="F45" s="368"/>
      <c r="G45" s="368"/>
      <c r="H45" s="919"/>
    </row>
    <row r="46" spans="1:8" s="369" customFormat="1" ht="13.5" hidden="1" thickBot="1">
      <c r="A46" s="916"/>
      <c r="B46" s="921"/>
      <c r="C46" s="921"/>
      <c r="D46" s="922"/>
      <c r="E46" s="654"/>
      <c r="F46" s="372"/>
      <c r="G46" s="372"/>
      <c r="H46" s="920"/>
    </row>
    <row r="47" spans="1:8" s="369" customFormat="1" ht="12.75" hidden="1">
      <c r="A47" s="915">
        <v>18</v>
      </c>
      <c r="B47" s="917"/>
      <c r="C47" s="917"/>
      <c r="D47" s="918"/>
      <c r="E47" s="653"/>
      <c r="F47" s="371"/>
      <c r="G47" s="371"/>
      <c r="H47" s="919"/>
    </row>
    <row r="48" spans="1:8" s="369" customFormat="1" ht="13.5" hidden="1" thickBot="1">
      <c r="A48" s="916"/>
      <c r="B48" s="921"/>
      <c r="C48" s="921"/>
      <c r="D48" s="922"/>
      <c r="E48" s="654"/>
      <c r="F48" s="372"/>
      <c r="G48" s="372"/>
      <c r="H48" s="920"/>
    </row>
    <row r="49" spans="1:8" s="369" customFormat="1" ht="12.75" hidden="1">
      <c r="A49" s="915">
        <v>19</v>
      </c>
      <c r="B49" s="917"/>
      <c r="C49" s="917"/>
      <c r="D49" s="918"/>
      <c r="E49" s="653"/>
      <c r="F49" s="371"/>
      <c r="G49" s="371"/>
      <c r="H49" s="919"/>
    </row>
    <row r="50" spans="1:8" s="369" customFormat="1" ht="13.5" hidden="1" thickBot="1">
      <c r="A50" s="916"/>
      <c r="B50" s="921"/>
      <c r="C50" s="921"/>
      <c r="D50" s="922"/>
      <c r="E50" s="652"/>
      <c r="F50" s="370"/>
      <c r="G50" s="370"/>
      <c r="H50" s="920"/>
    </row>
    <row r="51" spans="1:8" s="369" customFormat="1" ht="12.75" hidden="1">
      <c r="A51" s="915">
        <v>20</v>
      </c>
      <c r="B51" s="917"/>
      <c r="C51" s="917"/>
      <c r="D51" s="918"/>
      <c r="E51" s="653"/>
      <c r="F51" s="371"/>
      <c r="G51" s="371"/>
      <c r="H51" s="919"/>
    </row>
    <row r="52" spans="1:8" s="369" customFormat="1" ht="13.5" hidden="1" thickBot="1">
      <c r="A52" s="916"/>
      <c r="B52" s="921"/>
      <c r="C52" s="921"/>
      <c r="D52" s="922"/>
      <c r="E52" s="652"/>
      <c r="F52" s="370"/>
      <c r="G52" s="370"/>
      <c r="H52" s="920"/>
    </row>
    <row r="53" spans="1:8" s="369" customFormat="1" ht="12.75" hidden="1">
      <c r="A53" s="915">
        <v>21</v>
      </c>
      <c r="B53" s="917"/>
      <c r="C53" s="917"/>
      <c r="D53" s="918"/>
      <c r="E53" s="653"/>
      <c r="F53" s="371"/>
      <c r="G53" s="371"/>
      <c r="H53" s="919"/>
    </row>
    <row r="54" spans="1:8" s="369" customFormat="1" ht="13.5" hidden="1" thickBot="1">
      <c r="A54" s="916"/>
      <c r="B54" s="921"/>
      <c r="C54" s="921"/>
      <c r="D54" s="922"/>
      <c r="E54" s="654"/>
      <c r="F54" s="372"/>
      <c r="G54" s="372"/>
      <c r="H54" s="920"/>
    </row>
    <row r="55" spans="1:8" s="369" customFormat="1" ht="12.75" hidden="1">
      <c r="A55" s="915">
        <v>22</v>
      </c>
      <c r="B55" s="917"/>
      <c r="C55" s="917"/>
      <c r="D55" s="918"/>
      <c r="E55" s="653"/>
      <c r="F55" s="371"/>
      <c r="G55" s="371"/>
      <c r="H55" s="919"/>
    </row>
    <row r="56" spans="1:8" s="369" customFormat="1" ht="13.5" hidden="1" thickBot="1">
      <c r="A56" s="916"/>
      <c r="B56" s="921"/>
      <c r="C56" s="921"/>
      <c r="D56" s="922"/>
      <c r="E56" s="652"/>
      <c r="F56" s="370"/>
      <c r="G56" s="370"/>
      <c r="H56" s="920"/>
    </row>
    <row r="57" spans="1:8" s="369" customFormat="1" ht="12.75" hidden="1">
      <c r="A57" s="915">
        <v>23</v>
      </c>
      <c r="B57" s="917"/>
      <c r="C57" s="917"/>
      <c r="D57" s="918"/>
      <c r="E57" s="653"/>
      <c r="F57" s="371"/>
      <c r="G57" s="371"/>
      <c r="H57" s="919"/>
    </row>
    <row r="58" spans="1:8" s="369" customFormat="1" ht="13.5" hidden="1" thickBot="1">
      <c r="A58" s="916"/>
      <c r="B58" s="921"/>
      <c r="C58" s="921"/>
      <c r="D58" s="922"/>
      <c r="E58" s="652"/>
      <c r="F58" s="370"/>
      <c r="G58" s="370"/>
      <c r="H58" s="920"/>
    </row>
    <row r="59" spans="1:8" s="369" customFormat="1" ht="12.75" hidden="1">
      <c r="A59" s="915">
        <v>24</v>
      </c>
      <c r="B59" s="917"/>
      <c r="C59" s="917"/>
      <c r="D59" s="918"/>
      <c r="E59" s="653"/>
      <c r="F59" s="371"/>
      <c r="G59" s="371"/>
      <c r="H59" s="919"/>
    </row>
    <row r="60" spans="1:8" s="369" customFormat="1" ht="13.5" hidden="1" thickBot="1">
      <c r="A60" s="916"/>
      <c r="B60" s="921"/>
      <c r="C60" s="921"/>
      <c r="D60" s="922"/>
      <c r="E60" s="652"/>
      <c r="F60" s="370"/>
      <c r="G60" s="370"/>
      <c r="H60" s="920"/>
    </row>
    <row r="61" spans="1:8" s="369" customFormat="1" ht="12.75" hidden="1">
      <c r="A61" s="915">
        <v>25</v>
      </c>
      <c r="B61" s="917"/>
      <c r="C61" s="917"/>
      <c r="D61" s="918"/>
      <c r="E61" s="653"/>
      <c r="F61" s="371"/>
      <c r="G61" s="371"/>
      <c r="H61" s="919"/>
    </row>
    <row r="62" spans="1:8" s="369" customFormat="1" ht="13.5" hidden="1" thickBot="1">
      <c r="A62" s="916"/>
      <c r="B62" s="921"/>
      <c r="C62" s="921"/>
      <c r="D62" s="922"/>
      <c r="E62" s="654"/>
      <c r="F62" s="372"/>
      <c r="G62" s="372"/>
      <c r="H62" s="920"/>
    </row>
    <row r="63" spans="1:8" s="369" customFormat="1" ht="12.75" hidden="1">
      <c r="A63" s="915">
        <v>26</v>
      </c>
      <c r="B63" s="917"/>
      <c r="C63" s="917"/>
      <c r="D63" s="918"/>
      <c r="E63" s="653"/>
      <c r="F63" s="371"/>
      <c r="G63" s="371"/>
      <c r="H63" s="919"/>
    </row>
    <row r="64" spans="1:8" s="369" customFormat="1" ht="13.5" hidden="1" thickBot="1">
      <c r="A64" s="916"/>
      <c r="B64" s="921"/>
      <c r="C64" s="921"/>
      <c r="D64" s="922"/>
      <c r="E64" s="654"/>
      <c r="F64" s="372"/>
      <c r="G64" s="372"/>
      <c r="H64" s="920"/>
    </row>
    <row r="65" spans="1:8" s="373" customFormat="1" ht="12.75" hidden="1">
      <c r="A65" s="915">
        <v>27</v>
      </c>
      <c r="B65" s="917"/>
      <c r="C65" s="917"/>
      <c r="D65" s="918"/>
      <c r="E65" s="651"/>
      <c r="F65" s="368"/>
      <c r="G65" s="368"/>
      <c r="H65" s="919"/>
    </row>
    <row r="66" spans="1:8" s="373" customFormat="1" ht="13.5" hidden="1" thickBot="1">
      <c r="A66" s="916"/>
      <c r="B66" s="921"/>
      <c r="C66" s="921"/>
      <c r="D66" s="922"/>
      <c r="E66" s="654"/>
      <c r="F66" s="372"/>
      <c r="G66" s="372"/>
      <c r="H66" s="920"/>
    </row>
    <row r="67" spans="1:8" s="373" customFormat="1" ht="12.75" hidden="1">
      <c r="A67" s="915">
        <v>28</v>
      </c>
      <c r="B67" s="917"/>
      <c r="C67" s="917"/>
      <c r="D67" s="918"/>
      <c r="E67" s="651"/>
      <c r="F67" s="368"/>
      <c r="G67" s="368"/>
      <c r="H67" s="919"/>
    </row>
    <row r="68" spans="1:8" s="373" customFormat="1" ht="13.5" hidden="1" thickBot="1">
      <c r="A68" s="916"/>
      <c r="B68" s="921"/>
      <c r="C68" s="921"/>
      <c r="D68" s="922"/>
      <c r="E68" s="654"/>
      <c r="F68" s="372"/>
      <c r="G68" s="372"/>
      <c r="H68" s="920"/>
    </row>
    <row r="69" spans="1:8" s="373" customFormat="1" ht="12.75" hidden="1">
      <c r="A69" s="915">
        <v>29</v>
      </c>
      <c r="B69" s="917"/>
      <c r="C69" s="917"/>
      <c r="D69" s="918"/>
      <c r="E69" s="651"/>
      <c r="F69" s="368"/>
      <c r="G69" s="368"/>
      <c r="H69" s="919"/>
    </row>
    <row r="70" spans="1:8" s="373" customFormat="1" ht="13.5" hidden="1" thickBot="1">
      <c r="A70" s="916"/>
      <c r="B70" s="921"/>
      <c r="C70" s="921"/>
      <c r="D70" s="922"/>
      <c r="E70" s="654"/>
      <c r="F70" s="372"/>
      <c r="G70" s="372"/>
      <c r="H70" s="920"/>
    </row>
    <row r="71" spans="1:8" s="373" customFormat="1" ht="12.75" hidden="1">
      <c r="A71" s="915">
        <v>30</v>
      </c>
      <c r="B71" s="917"/>
      <c r="C71" s="917"/>
      <c r="D71" s="918"/>
      <c r="E71" s="653"/>
      <c r="F71" s="371"/>
      <c r="G71" s="371"/>
      <c r="H71" s="919"/>
    </row>
    <row r="72" spans="1:8" s="373" customFormat="1" ht="13.5" hidden="1" thickBot="1">
      <c r="A72" s="916"/>
      <c r="B72" s="921"/>
      <c r="C72" s="921"/>
      <c r="D72" s="922"/>
      <c r="E72" s="652"/>
      <c r="F72" s="370"/>
      <c r="G72" s="370"/>
      <c r="H72" s="920"/>
    </row>
    <row r="73" spans="1:8" s="373" customFormat="1" ht="12.75" hidden="1">
      <c r="A73" s="915">
        <v>31</v>
      </c>
      <c r="B73" s="917"/>
      <c r="C73" s="917"/>
      <c r="D73" s="918"/>
      <c r="E73" s="651"/>
      <c r="F73" s="368"/>
      <c r="G73" s="368"/>
      <c r="H73" s="919"/>
    </row>
    <row r="74" spans="1:8" s="373" customFormat="1" ht="13.5" hidden="1" thickBot="1">
      <c r="A74" s="916"/>
      <c r="B74" s="921"/>
      <c r="C74" s="921"/>
      <c r="D74" s="922"/>
      <c r="E74" s="654"/>
      <c r="F74" s="372"/>
      <c r="G74" s="372"/>
      <c r="H74" s="920"/>
    </row>
    <row r="75" spans="1:8" s="373" customFormat="1" ht="12.75" hidden="1">
      <c r="A75" s="915">
        <v>32</v>
      </c>
      <c r="B75" s="917"/>
      <c r="C75" s="917"/>
      <c r="D75" s="918"/>
      <c r="E75" s="653"/>
      <c r="F75" s="371"/>
      <c r="G75" s="371"/>
      <c r="H75" s="919"/>
    </row>
    <row r="76" spans="1:8" s="373" customFormat="1" ht="13.5" hidden="1" thickBot="1">
      <c r="A76" s="916"/>
      <c r="B76" s="921"/>
      <c r="C76" s="921"/>
      <c r="D76" s="922"/>
      <c r="E76" s="652"/>
      <c r="F76" s="370"/>
      <c r="G76" s="370"/>
      <c r="H76" s="920"/>
    </row>
    <row r="77" spans="1:8" ht="12.75">
      <c r="A77" s="374"/>
      <c r="B77" s="374"/>
      <c r="C77" s="375"/>
      <c r="D77" s="376"/>
      <c r="E77" s="376"/>
      <c r="F77" s="376"/>
      <c r="G77" s="376"/>
      <c r="H77" s="376"/>
    </row>
    <row r="78" spans="1:8" ht="12.75" customHeight="1">
      <c r="A78" s="377" t="s">
        <v>16</v>
      </c>
      <c r="B78" s="377"/>
      <c r="C78" s="378"/>
      <c r="D78" s="914" t="str">
        <f>IF(Установка!$C$11="","",UPPER(Установка!$C$11))</f>
        <v>ЗЕЛИНГЕР М.М.</v>
      </c>
      <c r="E78" s="914"/>
      <c r="F78" s="379"/>
      <c r="G78" s="380"/>
      <c r="H78" s="347"/>
    </row>
    <row r="79" spans="1:8" ht="12.75" customHeight="1">
      <c r="A79" s="381"/>
      <c r="B79" s="381"/>
      <c r="C79" s="382" t="s">
        <v>17</v>
      </c>
      <c r="D79" s="909" t="s">
        <v>18</v>
      </c>
      <c r="E79" s="909"/>
      <c r="F79" s="383"/>
      <c r="G79" s="380"/>
      <c r="H79" s="347"/>
    </row>
    <row r="80" spans="1:8" ht="12.75" customHeight="1">
      <c r="A80" s="377" t="s">
        <v>19</v>
      </c>
      <c r="B80" s="377"/>
      <c r="C80" s="378"/>
      <c r="D80" s="914" t="str">
        <f>IF(Установка!$C$12="","",UPPER(Установка!$C$12))</f>
        <v>ГУТОВ К.Г.</v>
      </c>
      <c r="E80" s="914"/>
      <c r="F80" s="379"/>
      <c r="G80" s="380"/>
      <c r="H80" s="347"/>
    </row>
    <row r="81" spans="1:8" ht="12.75" customHeight="1">
      <c r="A81" s="381"/>
      <c r="B81" s="381"/>
      <c r="C81" s="382" t="s">
        <v>17</v>
      </c>
      <c r="D81" s="909" t="s">
        <v>18</v>
      </c>
      <c r="E81" s="909"/>
      <c r="F81" s="383"/>
      <c r="G81" s="380"/>
      <c r="H81" s="347"/>
    </row>
    <row r="82" spans="1:8" ht="12.75" customHeight="1">
      <c r="A82" s="384"/>
      <c r="B82" s="384"/>
      <c r="C82" s="384"/>
      <c r="D82" s="385"/>
      <c r="E82" s="385"/>
      <c r="F82" s="385"/>
      <c r="G82" s="385"/>
      <c r="H82" s="385"/>
    </row>
    <row r="83" spans="1:8" s="386" customFormat="1" ht="12.75">
      <c r="A83" s="910"/>
      <c r="B83" s="910"/>
      <c r="C83" s="910"/>
      <c r="D83" s="910"/>
      <c r="E83" s="910"/>
      <c r="F83" s="910"/>
      <c r="G83" s="910"/>
      <c r="H83" s="910"/>
    </row>
    <row r="84" spans="1:8" s="386" customFormat="1" ht="12.75">
      <c r="A84" s="910"/>
      <c r="B84" s="910"/>
      <c r="C84" s="910"/>
      <c r="D84" s="910"/>
      <c r="E84" s="910"/>
      <c r="F84" s="910"/>
      <c r="G84" s="910"/>
      <c r="H84" s="910"/>
    </row>
    <row r="86" spans="1:15" s="348" customFormat="1" ht="12.75">
      <c r="A86" s="387"/>
      <c r="B86" s="387"/>
      <c r="C86" s="347"/>
      <c r="I86" s="347"/>
      <c r="J86" s="347"/>
      <c r="K86" s="347"/>
      <c r="L86" s="347"/>
      <c r="M86" s="347"/>
      <c r="N86" s="347"/>
      <c r="O86" s="347"/>
    </row>
    <row r="87" spans="1:15" s="348" customFormat="1" ht="12.75">
      <c r="A87" s="387"/>
      <c r="B87" s="387"/>
      <c r="C87" s="347"/>
      <c r="F87" s="376"/>
      <c r="I87" s="347"/>
      <c r="J87" s="347"/>
      <c r="K87" s="347"/>
      <c r="L87" s="347"/>
      <c r="M87" s="347"/>
      <c r="N87" s="347"/>
      <c r="O87" s="347"/>
    </row>
    <row r="88" spans="1:15" s="348" customFormat="1" ht="12.75">
      <c r="A88" s="387"/>
      <c r="B88" s="387"/>
      <c r="C88" s="347"/>
      <c r="F88" s="376"/>
      <c r="I88" s="347"/>
      <c r="J88" s="347"/>
      <c r="K88" s="347"/>
      <c r="L88" s="347"/>
      <c r="M88" s="347"/>
      <c r="N88" s="347"/>
      <c r="O88" s="347"/>
    </row>
    <row r="89" spans="1:15" s="348" customFormat="1" ht="12.75">
      <c r="A89" s="387"/>
      <c r="B89" s="387"/>
      <c r="C89" s="347"/>
      <c r="F89" s="376"/>
      <c r="I89" s="347"/>
      <c r="J89" s="347"/>
      <c r="K89" s="347"/>
      <c r="L89" s="347"/>
      <c r="M89" s="347"/>
      <c r="N89" s="347"/>
      <c r="O89" s="347"/>
    </row>
    <row r="90" spans="1:15" s="348" customFormat="1" ht="12.75">
      <c r="A90" s="387"/>
      <c r="B90" s="387"/>
      <c r="C90" s="347"/>
      <c r="F90" s="376"/>
      <c r="I90" s="347"/>
      <c r="J90" s="347"/>
      <c r="K90" s="347"/>
      <c r="L90" s="347"/>
      <c r="M90" s="347"/>
      <c r="N90" s="347"/>
      <c r="O90" s="347"/>
    </row>
    <row r="91" spans="1:15" s="348" customFormat="1" ht="12.75">
      <c r="A91" s="387"/>
      <c r="B91" s="387"/>
      <c r="C91" s="347"/>
      <c r="F91" s="376"/>
      <c r="I91" s="347"/>
      <c r="J91" s="347"/>
      <c r="K91" s="347"/>
      <c r="L91" s="347"/>
      <c r="M91" s="347"/>
      <c r="N91" s="347"/>
      <c r="O91" s="347"/>
    </row>
    <row r="92" spans="1:15" s="348" customFormat="1" ht="12.75">
      <c r="A92" s="387"/>
      <c r="B92" s="387"/>
      <c r="C92" s="347"/>
      <c r="F92" s="376"/>
      <c r="I92" s="347"/>
      <c r="J92" s="347"/>
      <c r="K92" s="347"/>
      <c r="L92" s="347"/>
      <c r="M92" s="347"/>
      <c r="N92" s="347"/>
      <c r="O92" s="347"/>
    </row>
    <row r="93" spans="1:15" s="348" customFormat="1" ht="12.75">
      <c r="A93" s="387"/>
      <c r="B93" s="387"/>
      <c r="C93" s="347"/>
      <c r="F93" s="376"/>
      <c r="I93" s="347"/>
      <c r="J93" s="347"/>
      <c r="K93" s="347"/>
      <c r="L93" s="347"/>
      <c r="M93" s="347"/>
      <c r="N93" s="347"/>
      <c r="O93" s="347"/>
    </row>
    <row r="94" spans="1:15" s="348" customFormat="1" ht="12.75">
      <c r="A94" s="387"/>
      <c r="B94" s="387"/>
      <c r="C94" s="347"/>
      <c r="F94" s="376"/>
      <c r="I94" s="347"/>
      <c r="J94" s="347"/>
      <c r="K94" s="347"/>
      <c r="L94" s="347"/>
      <c r="M94" s="347"/>
      <c r="N94" s="347"/>
      <c r="O94" s="347"/>
    </row>
    <row r="95" spans="1:15" s="348" customFormat="1" ht="12.75">
      <c r="A95" s="387"/>
      <c r="B95" s="387"/>
      <c r="C95" s="347"/>
      <c r="F95" s="376"/>
      <c r="I95" s="347"/>
      <c r="J95" s="347"/>
      <c r="K95" s="347"/>
      <c r="L95" s="347"/>
      <c r="M95" s="347"/>
      <c r="N95" s="347"/>
      <c r="O95" s="347"/>
    </row>
    <row r="96" spans="1:15" s="348" customFormat="1" ht="12.75">
      <c r="A96" s="387"/>
      <c r="B96" s="387"/>
      <c r="C96" s="347"/>
      <c r="F96" s="376"/>
      <c r="I96" s="347"/>
      <c r="J96" s="347"/>
      <c r="K96" s="347"/>
      <c r="L96" s="347"/>
      <c r="M96" s="347"/>
      <c r="N96" s="347"/>
      <c r="O96" s="347"/>
    </row>
    <row r="97" spans="1:15" s="348" customFormat="1" ht="12.75">
      <c r="A97" s="387"/>
      <c r="B97" s="387"/>
      <c r="C97" s="347"/>
      <c r="F97" s="376"/>
      <c r="I97" s="347"/>
      <c r="J97" s="347"/>
      <c r="K97" s="347"/>
      <c r="L97" s="347"/>
      <c r="M97" s="347"/>
      <c r="N97" s="347"/>
      <c r="O97" s="347"/>
    </row>
    <row r="98" spans="1:15" s="348" customFormat="1" ht="12.75">
      <c r="A98" s="387"/>
      <c r="B98" s="387"/>
      <c r="C98" s="347"/>
      <c r="F98" s="376"/>
      <c r="I98" s="347"/>
      <c r="J98" s="347"/>
      <c r="K98" s="347"/>
      <c r="L98" s="347"/>
      <c r="M98" s="347"/>
      <c r="N98" s="347"/>
      <c r="O98" s="347"/>
    </row>
    <row r="99" spans="1:15" s="348" customFormat="1" ht="12.75">
      <c r="A99" s="387"/>
      <c r="B99" s="387"/>
      <c r="C99" s="347"/>
      <c r="F99" s="376"/>
      <c r="I99" s="347"/>
      <c r="J99" s="347"/>
      <c r="K99" s="347"/>
      <c r="L99" s="347"/>
      <c r="M99" s="347"/>
      <c r="N99" s="347"/>
      <c r="O99" s="347"/>
    </row>
    <row r="100" spans="1:15" s="583" customFormat="1" ht="12.75" hidden="1">
      <c r="A100" s="581"/>
      <c r="B100" s="581">
        <f>64-COUNTIF(B13:B76,"")</f>
        <v>12</v>
      </c>
      <c r="C100" s="582"/>
      <c r="F100" s="584"/>
      <c r="I100" s="582"/>
      <c r="J100" s="582"/>
      <c r="K100" s="582"/>
      <c r="L100" s="582"/>
      <c r="M100" s="582"/>
      <c r="N100" s="582"/>
      <c r="O100" s="582"/>
    </row>
    <row r="101" spans="1:15" s="348" customFormat="1" ht="12.75">
      <c r="A101" s="387"/>
      <c r="B101" s="387"/>
      <c r="C101" s="347"/>
      <c r="F101" s="376"/>
      <c r="I101" s="347"/>
      <c r="J101" s="347"/>
      <c r="K101" s="347"/>
      <c r="L101" s="347"/>
      <c r="M101" s="347"/>
      <c r="N101" s="347"/>
      <c r="O101" s="347"/>
    </row>
    <row r="102" spans="1:15" s="348" customFormat="1" ht="12.75">
      <c r="A102" s="387"/>
      <c r="B102" s="387"/>
      <c r="C102" s="347"/>
      <c r="F102" s="376"/>
      <c r="I102" s="347"/>
      <c r="J102" s="347"/>
      <c r="K102" s="347"/>
      <c r="L102" s="347"/>
      <c r="M102" s="347"/>
      <c r="N102" s="347"/>
      <c r="O102" s="347"/>
    </row>
    <row r="103" spans="1:15" s="348" customFormat="1" ht="12.75">
      <c r="A103" s="387"/>
      <c r="B103" s="387"/>
      <c r="C103" s="347"/>
      <c r="F103" s="376"/>
      <c r="I103" s="347"/>
      <c r="J103" s="347"/>
      <c r="K103" s="347"/>
      <c r="L103" s="347"/>
      <c r="M103" s="347"/>
      <c r="N103" s="347"/>
      <c r="O103" s="347"/>
    </row>
    <row r="104" spans="1:15" s="348" customFormat="1" ht="12.75">
      <c r="A104" s="387"/>
      <c r="B104" s="387"/>
      <c r="C104" s="347"/>
      <c r="F104" s="376"/>
      <c r="I104" s="347"/>
      <c r="J104" s="347"/>
      <c r="K104" s="347"/>
      <c r="L104" s="347"/>
      <c r="M104" s="347"/>
      <c r="N104" s="347"/>
      <c r="O104" s="347"/>
    </row>
    <row r="105" spans="1:15" s="348" customFormat="1" ht="12.75">
      <c r="A105" s="387"/>
      <c r="B105" s="387"/>
      <c r="C105" s="347"/>
      <c r="F105" s="376"/>
      <c r="I105" s="347"/>
      <c r="J105" s="347"/>
      <c r="K105" s="347"/>
      <c r="L105" s="347"/>
      <c r="M105" s="347"/>
      <c r="N105" s="347"/>
      <c r="O105" s="347"/>
    </row>
    <row r="106" spans="1:15" s="348" customFormat="1" ht="12.75">
      <c r="A106" s="387"/>
      <c r="B106" s="387"/>
      <c r="C106" s="347"/>
      <c r="F106" s="376"/>
      <c r="I106" s="347"/>
      <c r="J106" s="347"/>
      <c r="K106" s="347"/>
      <c r="L106" s="347"/>
      <c r="M106" s="347"/>
      <c r="N106" s="347"/>
      <c r="O106" s="347"/>
    </row>
    <row r="107" spans="1:15" s="348" customFormat="1" ht="12.75">
      <c r="A107" s="387"/>
      <c r="B107" s="387"/>
      <c r="C107" s="347"/>
      <c r="F107" s="376"/>
      <c r="I107" s="347"/>
      <c r="J107" s="347"/>
      <c r="K107" s="347"/>
      <c r="L107" s="347"/>
      <c r="M107" s="347"/>
      <c r="N107" s="347"/>
      <c r="O107" s="347"/>
    </row>
    <row r="108" spans="1:15" s="348" customFormat="1" ht="12.75">
      <c r="A108" s="387"/>
      <c r="B108" s="387"/>
      <c r="C108" s="347"/>
      <c r="F108" s="376"/>
      <c r="I108" s="347"/>
      <c r="J108" s="347"/>
      <c r="K108" s="347"/>
      <c r="L108" s="347"/>
      <c r="M108" s="347"/>
      <c r="N108" s="347"/>
      <c r="O108" s="347"/>
    </row>
    <row r="109" spans="1:15" s="348" customFormat="1" ht="12.75">
      <c r="A109" s="387"/>
      <c r="B109" s="387"/>
      <c r="C109" s="347"/>
      <c r="F109" s="376"/>
      <c r="I109" s="347"/>
      <c r="J109" s="347"/>
      <c r="K109" s="347"/>
      <c r="L109" s="347"/>
      <c r="M109" s="347"/>
      <c r="N109" s="347"/>
      <c r="O109" s="347"/>
    </row>
    <row r="110" spans="1:15" s="348" customFormat="1" ht="12.75">
      <c r="A110" s="387"/>
      <c r="B110" s="387"/>
      <c r="C110" s="347"/>
      <c r="F110" s="376"/>
      <c r="I110" s="347"/>
      <c r="J110" s="347"/>
      <c r="K110" s="347"/>
      <c r="L110" s="347"/>
      <c r="M110" s="347"/>
      <c r="N110" s="347"/>
      <c r="O110" s="347"/>
    </row>
    <row r="111" spans="1:15" s="348" customFormat="1" ht="12.75">
      <c r="A111" s="387"/>
      <c r="B111" s="387"/>
      <c r="C111" s="347"/>
      <c r="F111" s="376"/>
      <c r="I111" s="347"/>
      <c r="J111" s="347"/>
      <c r="K111" s="347"/>
      <c r="L111" s="347"/>
      <c r="M111" s="347"/>
      <c r="N111" s="347"/>
      <c r="O111" s="347"/>
    </row>
    <row r="112" spans="1:15" s="348" customFormat="1" ht="12.75">
      <c r="A112" s="387"/>
      <c r="B112" s="387"/>
      <c r="C112" s="347"/>
      <c r="F112" s="376"/>
      <c r="I112" s="347"/>
      <c r="J112" s="347"/>
      <c r="K112" s="347"/>
      <c r="L112" s="347"/>
      <c r="M112" s="347"/>
      <c r="N112" s="347"/>
      <c r="O112" s="347"/>
    </row>
    <row r="113" spans="1:15" s="348" customFormat="1" ht="12.75">
      <c r="A113" s="387"/>
      <c r="B113" s="387"/>
      <c r="C113" s="347"/>
      <c r="F113" s="376"/>
      <c r="I113" s="347"/>
      <c r="J113" s="347"/>
      <c r="K113" s="347"/>
      <c r="L113" s="347"/>
      <c r="M113" s="347"/>
      <c r="N113" s="347"/>
      <c r="O113" s="347"/>
    </row>
    <row r="114" spans="1:15" s="348" customFormat="1" ht="12.75">
      <c r="A114" s="387"/>
      <c r="B114" s="387"/>
      <c r="C114" s="347"/>
      <c r="F114" s="376"/>
      <c r="I114" s="347"/>
      <c r="J114" s="347"/>
      <c r="K114" s="347"/>
      <c r="L114" s="347"/>
      <c r="M114" s="347"/>
      <c r="N114" s="347"/>
      <c r="O114" s="347"/>
    </row>
    <row r="115" spans="1:15" s="348" customFormat="1" ht="12.75">
      <c r="A115" s="387"/>
      <c r="B115" s="387"/>
      <c r="C115" s="347"/>
      <c r="F115" s="376"/>
      <c r="I115" s="347"/>
      <c r="J115" s="347"/>
      <c r="K115" s="347"/>
      <c r="L115" s="347"/>
      <c r="M115" s="347"/>
      <c r="N115" s="347"/>
      <c r="O115" s="347"/>
    </row>
    <row r="116" spans="1:15" s="348" customFormat="1" ht="12.75">
      <c r="A116" s="387"/>
      <c r="B116" s="387"/>
      <c r="C116" s="347"/>
      <c r="F116" s="376"/>
      <c r="I116" s="347"/>
      <c r="J116" s="347"/>
      <c r="K116" s="347"/>
      <c r="L116" s="347"/>
      <c r="M116" s="347"/>
      <c r="N116" s="347"/>
      <c r="O116" s="347"/>
    </row>
    <row r="117" spans="1:15" s="348" customFormat="1" ht="12.75">
      <c r="A117" s="387"/>
      <c r="B117" s="387"/>
      <c r="C117" s="347"/>
      <c r="F117" s="376"/>
      <c r="I117" s="347"/>
      <c r="J117" s="347"/>
      <c r="K117" s="347"/>
      <c r="L117" s="347"/>
      <c r="M117" s="347"/>
      <c r="N117" s="347"/>
      <c r="O117" s="347"/>
    </row>
    <row r="118" spans="1:15" s="348" customFormat="1" ht="12.75">
      <c r="A118" s="387"/>
      <c r="B118" s="387"/>
      <c r="C118" s="347"/>
      <c r="F118" s="376"/>
      <c r="I118" s="347"/>
      <c r="J118" s="347"/>
      <c r="K118" s="347"/>
      <c r="L118" s="347"/>
      <c r="M118" s="347"/>
      <c r="N118" s="347"/>
      <c r="O118" s="347"/>
    </row>
    <row r="119" spans="1:15" s="348" customFormat="1" ht="12.75">
      <c r="A119" s="387"/>
      <c r="B119" s="387"/>
      <c r="C119" s="347"/>
      <c r="F119" s="376"/>
      <c r="I119" s="347"/>
      <c r="J119" s="347"/>
      <c r="K119" s="347"/>
      <c r="L119" s="347"/>
      <c r="M119" s="347"/>
      <c r="N119" s="347"/>
      <c r="O119" s="347"/>
    </row>
    <row r="120" spans="1:15" s="348" customFormat="1" ht="12.75">
      <c r="A120" s="387"/>
      <c r="B120" s="387"/>
      <c r="C120" s="347"/>
      <c r="F120" s="376"/>
      <c r="I120" s="347"/>
      <c r="J120" s="347"/>
      <c r="K120" s="347"/>
      <c r="L120" s="347"/>
      <c r="M120" s="347"/>
      <c r="N120" s="347"/>
      <c r="O120" s="347"/>
    </row>
    <row r="121" spans="1:15" s="348" customFormat="1" ht="12.75">
      <c r="A121" s="387"/>
      <c r="B121" s="387"/>
      <c r="C121" s="347"/>
      <c r="F121" s="376"/>
      <c r="I121" s="347"/>
      <c r="J121" s="347"/>
      <c r="K121" s="347"/>
      <c r="L121" s="347"/>
      <c r="M121" s="347"/>
      <c r="N121" s="347"/>
      <c r="O121" s="347"/>
    </row>
    <row r="122" spans="1:15" s="348" customFormat="1" ht="12.75">
      <c r="A122" s="387"/>
      <c r="B122" s="387"/>
      <c r="C122" s="347"/>
      <c r="F122" s="376"/>
      <c r="I122" s="347"/>
      <c r="J122" s="347"/>
      <c r="K122" s="347"/>
      <c r="L122" s="347"/>
      <c r="M122" s="347"/>
      <c r="N122" s="347"/>
      <c r="O122" s="347"/>
    </row>
    <row r="123" spans="1:15" s="348" customFormat="1" ht="12.75">
      <c r="A123" s="387"/>
      <c r="B123" s="387"/>
      <c r="C123" s="347"/>
      <c r="F123" s="376"/>
      <c r="I123" s="347"/>
      <c r="J123" s="347"/>
      <c r="K123" s="347"/>
      <c r="L123" s="347"/>
      <c r="M123" s="347"/>
      <c r="N123" s="347"/>
      <c r="O123" s="347"/>
    </row>
    <row r="124" spans="1:15" s="348" customFormat="1" ht="12.75">
      <c r="A124" s="387"/>
      <c r="B124" s="387"/>
      <c r="C124" s="347"/>
      <c r="F124" s="376"/>
      <c r="I124" s="347"/>
      <c r="J124" s="347"/>
      <c r="K124" s="347"/>
      <c r="L124" s="347"/>
      <c r="M124" s="347"/>
      <c r="N124" s="347"/>
      <c r="O124" s="347"/>
    </row>
    <row r="125" spans="1:15" s="348" customFormat="1" ht="12.75">
      <c r="A125" s="387"/>
      <c r="B125" s="387"/>
      <c r="C125" s="347"/>
      <c r="F125" s="376"/>
      <c r="I125" s="347"/>
      <c r="J125" s="347"/>
      <c r="K125" s="347"/>
      <c r="L125" s="347"/>
      <c r="M125" s="347"/>
      <c r="N125" s="347"/>
      <c r="O125" s="347"/>
    </row>
    <row r="126" spans="1:15" s="348" customFormat="1" ht="12.75">
      <c r="A126" s="387"/>
      <c r="B126" s="387"/>
      <c r="C126" s="347"/>
      <c r="F126" s="376"/>
      <c r="I126" s="347"/>
      <c r="J126" s="347"/>
      <c r="K126" s="347"/>
      <c r="L126" s="347"/>
      <c r="M126" s="347"/>
      <c r="N126" s="347"/>
      <c r="O126" s="347"/>
    </row>
    <row r="127" spans="1:15" s="348" customFormat="1" ht="12.75">
      <c r="A127" s="387"/>
      <c r="B127" s="387"/>
      <c r="C127" s="347"/>
      <c r="F127" s="376"/>
      <c r="I127" s="347"/>
      <c r="J127" s="347"/>
      <c r="K127" s="347"/>
      <c r="L127" s="347"/>
      <c r="M127" s="347"/>
      <c r="N127" s="347"/>
      <c r="O127" s="347"/>
    </row>
    <row r="128" spans="1:15" s="348" customFormat="1" ht="12.75">
      <c r="A128" s="387"/>
      <c r="B128" s="387"/>
      <c r="C128" s="347"/>
      <c r="F128" s="376"/>
      <c r="I128" s="347"/>
      <c r="J128" s="347"/>
      <c r="K128" s="347"/>
      <c r="L128" s="347"/>
      <c r="M128" s="347"/>
      <c r="N128" s="347"/>
      <c r="O128" s="347"/>
    </row>
    <row r="129" spans="1:15" s="348" customFormat="1" ht="12.75">
      <c r="A129" s="387"/>
      <c r="B129" s="387"/>
      <c r="C129" s="347"/>
      <c r="F129" s="376"/>
      <c r="I129" s="347"/>
      <c r="J129" s="347"/>
      <c r="K129" s="347"/>
      <c r="L129" s="347"/>
      <c r="M129" s="347"/>
      <c r="N129" s="347"/>
      <c r="O129" s="347"/>
    </row>
    <row r="130" spans="1:15" s="348" customFormat="1" ht="12.75">
      <c r="A130" s="387"/>
      <c r="B130" s="387"/>
      <c r="C130" s="347"/>
      <c r="F130" s="376"/>
      <c r="I130" s="347"/>
      <c r="J130" s="347"/>
      <c r="K130" s="347"/>
      <c r="L130" s="347"/>
      <c r="M130" s="347"/>
      <c r="N130" s="347"/>
      <c r="O130" s="347"/>
    </row>
    <row r="131" spans="1:15" s="348" customFormat="1" ht="12.75">
      <c r="A131" s="387"/>
      <c r="B131" s="387"/>
      <c r="C131" s="347"/>
      <c r="F131" s="376"/>
      <c r="I131" s="347"/>
      <c r="J131" s="347"/>
      <c r="K131" s="347"/>
      <c r="L131" s="347"/>
      <c r="M131" s="347"/>
      <c r="N131" s="347"/>
      <c r="O131" s="347"/>
    </row>
    <row r="132" spans="1:15" s="348" customFormat="1" ht="12.75">
      <c r="A132" s="387"/>
      <c r="B132" s="387"/>
      <c r="C132" s="347"/>
      <c r="F132" s="376"/>
      <c r="I132" s="347"/>
      <c r="J132" s="347"/>
      <c r="K132" s="347"/>
      <c r="L132" s="347"/>
      <c r="M132" s="347"/>
      <c r="N132" s="347"/>
      <c r="O132" s="347"/>
    </row>
    <row r="133" spans="1:15" s="348" customFormat="1" ht="12.75">
      <c r="A133" s="387"/>
      <c r="B133" s="387"/>
      <c r="C133" s="347"/>
      <c r="F133" s="376"/>
      <c r="I133" s="347"/>
      <c r="J133" s="347"/>
      <c r="K133" s="347"/>
      <c r="L133" s="347"/>
      <c r="M133" s="347"/>
      <c r="N133" s="347"/>
      <c r="O133" s="347"/>
    </row>
    <row r="134" spans="1:15" s="348" customFormat="1" ht="12.75">
      <c r="A134" s="387"/>
      <c r="B134" s="387"/>
      <c r="C134" s="347"/>
      <c r="F134" s="376"/>
      <c r="I134" s="347"/>
      <c r="J134" s="347"/>
      <c r="K134" s="347"/>
      <c r="L134" s="347"/>
      <c r="M134" s="347"/>
      <c r="N134" s="347"/>
      <c r="O134" s="347"/>
    </row>
    <row r="135" spans="1:15" s="348" customFormat="1" ht="12.75">
      <c r="A135" s="387"/>
      <c r="B135" s="387"/>
      <c r="C135" s="347"/>
      <c r="F135" s="376"/>
      <c r="I135" s="347"/>
      <c r="J135" s="347"/>
      <c r="K135" s="347"/>
      <c r="L135" s="347"/>
      <c r="M135" s="347"/>
      <c r="N135" s="347"/>
      <c r="O135" s="347"/>
    </row>
    <row r="136" spans="1:15" s="348" customFormat="1" ht="12.75">
      <c r="A136" s="387"/>
      <c r="B136" s="387"/>
      <c r="C136" s="347"/>
      <c r="F136" s="376"/>
      <c r="I136" s="347"/>
      <c r="J136" s="347"/>
      <c r="K136" s="347"/>
      <c r="L136" s="347"/>
      <c r="M136" s="347"/>
      <c r="N136" s="347"/>
      <c r="O136" s="347"/>
    </row>
    <row r="137" spans="1:15" s="348" customFormat="1" ht="12.75">
      <c r="A137" s="387"/>
      <c r="B137" s="387"/>
      <c r="C137" s="347"/>
      <c r="F137" s="376"/>
      <c r="I137" s="347"/>
      <c r="J137" s="347"/>
      <c r="K137" s="347"/>
      <c r="L137" s="347"/>
      <c r="M137" s="347"/>
      <c r="N137" s="347"/>
      <c r="O137" s="347"/>
    </row>
    <row r="138" spans="1:15" s="348" customFormat="1" ht="12.75">
      <c r="A138" s="387"/>
      <c r="B138" s="387"/>
      <c r="C138" s="347"/>
      <c r="F138" s="376"/>
      <c r="I138" s="347"/>
      <c r="J138" s="347"/>
      <c r="K138" s="347"/>
      <c r="L138" s="347"/>
      <c r="M138" s="347"/>
      <c r="N138" s="347"/>
      <c r="O138" s="347"/>
    </row>
    <row r="139" spans="1:15" s="348" customFormat="1" ht="12.75">
      <c r="A139" s="387"/>
      <c r="B139" s="387"/>
      <c r="C139" s="347"/>
      <c r="F139" s="376"/>
      <c r="I139" s="347"/>
      <c r="J139" s="347"/>
      <c r="K139" s="347"/>
      <c r="L139" s="347"/>
      <c r="M139" s="347"/>
      <c r="N139" s="347"/>
      <c r="O139" s="347"/>
    </row>
    <row r="140" spans="1:15" s="348" customFormat="1" ht="12.75">
      <c r="A140" s="387"/>
      <c r="B140" s="387"/>
      <c r="C140" s="347"/>
      <c r="F140" s="376"/>
      <c r="I140" s="347"/>
      <c r="J140" s="347"/>
      <c r="K140" s="347"/>
      <c r="L140" s="347"/>
      <c r="M140" s="347"/>
      <c r="N140" s="347"/>
      <c r="O140" s="347"/>
    </row>
    <row r="141" spans="1:15" s="348" customFormat="1" ht="12.75">
      <c r="A141" s="387"/>
      <c r="B141" s="387"/>
      <c r="C141" s="347"/>
      <c r="F141" s="376"/>
      <c r="I141" s="347"/>
      <c r="J141" s="347"/>
      <c r="K141" s="347"/>
      <c r="L141" s="347"/>
      <c r="M141" s="347"/>
      <c r="N141" s="347"/>
      <c r="O141" s="347"/>
    </row>
    <row r="142" spans="1:15" s="348" customFormat="1" ht="12.75">
      <c r="A142" s="387"/>
      <c r="B142" s="387"/>
      <c r="C142" s="347"/>
      <c r="F142" s="376"/>
      <c r="I142" s="347"/>
      <c r="J142" s="347"/>
      <c r="K142" s="347"/>
      <c r="L142" s="347"/>
      <c r="M142" s="347"/>
      <c r="N142" s="347"/>
      <c r="O142" s="347"/>
    </row>
    <row r="143" spans="1:15" s="348" customFormat="1" ht="12.75">
      <c r="A143" s="387"/>
      <c r="B143" s="387"/>
      <c r="C143" s="347"/>
      <c r="F143" s="376"/>
      <c r="I143" s="347"/>
      <c r="J143" s="347"/>
      <c r="K143" s="347"/>
      <c r="L143" s="347"/>
      <c r="M143" s="347"/>
      <c r="N143" s="347"/>
      <c r="O143" s="347"/>
    </row>
    <row r="144" spans="1:15" s="348" customFormat="1" ht="12.75">
      <c r="A144" s="387"/>
      <c r="B144" s="387"/>
      <c r="C144" s="347"/>
      <c r="F144" s="376"/>
      <c r="I144" s="347"/>
      <c r="J144" s="347"/>
      <c r="K144" s="347"/>
      <c r="L144" s="347"/>
      <c r="M144" s="347"/>
      <c r="N144" s="347"/>
      <c r="O144" s="347"/>
    </row>
    <row r="145" spans="1:15" s="348" customFormat="1" ht="12.75">
      <c r="A145" s="387"/>
      <c r="B145" s="387"/>
      <c r="C145" s="347"/>
      <c r="F145" s="376"/>
      <c r="I145" s="347"/>
      <c r="J145" s="347"/>
      <c r="K145" s="347"/>
      <c r="L145" s="347"/>
      <c r="M145" s="347"/>
      <c r="N145" s="347"/>
      <c r="O145" s="347"/>
    </row>
    <row r="146" spans="1:15" s="348" customFormat="1" ht="12.75">
      <c r="A146" s="387"/>
      <c r="B146" s="387"/>
      <c r="C146" s="347"/>
      <c r="F146" s="376"/>
      <c r="I146" s="347"/>
      <c r="J146" s="347"/>
      <c r="K146" s="347"/>
      <c r="L146" s="347"/>
      <c r="M146" s="347"/>
      <c r="N146" s="347"/>
      <c r="O146" s="347"/>
    </row>
    <row r="147" spans="1:15" s="348" customFormat="1" ht="12.75">
      <c r="A147" s="387"/>
      <c r="B147" s="387"/>
      <c r="C147" s="347"/>
      <c r="F147" s="376"/>
      <c r="I147" s="347"/>
      <c r="J147" s="347"/>
      <c r="K147" s="347"/>
      <c r="L147" s="347"/>
      <c r="M147" s="347"/>
      <c r="N147" s="347"/>
      <c r="O147" s="347"/>
    </row>
    <row r="148" spans="1:15" s="348" customFormat="1" ht="12.75">
      <c r="A148" s="387"/>
      <c r="B148" s="387"/>
      <c r="C148" s="347"/>
      <c r="F148" s="376"/>
      <c r="I148" s="347"/>
      <c r="J148" s="347"/>
      <c r="K148" s="347"/>
      <c r="L148" s="347"/>
      <c r="M148" s="347"/>
      <c r="N148" s="347"/>
      <c r="O148" s="347"/>
    </row>
    <row r="149" spans="1:15" s="348" customFormat="1" ht="12.75">
      <c r="A149" s="387"/>
      <c r="B149" s="387"/>
      <c r="C149" s="347"/>
      <c r="F149" s="376"/>
      <c r="I149" s="347"/>
      <c r="J149" s="347"/>
      <c r="K149" s="347"/>
      <c r="L149" s="347"/>
      <c r="M149" s="347"/>
      <c r="N149" s="347"/>
      <c r="O149" s="347"/>
    </row>
    <row r="150" spans="1:15" s="348" customFormat="1" ht="12.75">
      <c r="A150" s="387"/>
      <c r="B150" s="387"/>
      <c r="C150" s="347"/>
      <c r="F150" s="376"/>
      <c r="I150" s="347"/>
      <c r="J150" s="347"/>
      <c r="K150" s="347"/>
      <c r="L150" s="347"/>
      <c r="M150" s="347"/>
      <c r="N150" s="347"/>
      <c r="O150" s="347"/>
    </row>
    <row r="151" spans="1:15" s="348" customFormat="1" ht="12.75">
      <c r="A151" s="387"/>
      <c r="B151" s="387"/>
      <c r="C151" s="347"/>
      <c r="F151" s="376"/>
      <c r="I151" s="347"/>
      <c r="J151" s="347"/>
      <c r="K151" s="347"/>
      <c r="L151" s="347"/>
      <c r="M151" s="347"/>
      <c r="N151" s="347"/>
      <c r="O151" s="347"/>
    </row>
    <row r="152" spans="1:15" s="348" customFormat="1" ht="12.75">
      <c r="A152" s="387"/>
      <c r="B152" s="387"/>
      <c r="C152" s="347"/>
      <c r="F152" s="376"/>
      <c r="I152" s="347"/>
      <c r="J152" s="347"/>
      <c r="K152" s="347"/>
      <c r="L152" s="347"/>
      <c r="M152" s="347"/>
      <c r="N152" s="347"/>
      <c r="O152" s="347"/>
    </row>
    <row r="153" spans="1:15" s="348" customFormat="1" ht="12.75">
      <c r="A153" s="387"/>
      <c r="B153" s="387"/>
      <c r="C153" s="347"/>
      <c r="F153" s="376"/>
      <c r="I153" s="347"/>
      <c r="J153" s="347"/>
      <c r="K153" s="347"/>
      <c r="L153" s="347"/>
      <c r="M153" s="347"/>
      <c r="N153" s="347"/>
      <c r="O153" s="347"/>
    </row>
    <row r="154" spans="1:15" s="348" customFormat="1" ht="12.75">
      <c r="A154" s="387"/>
      <c r="B154" s="387"/>
      <c r="C154" s="347"/>
      <c r="F154" s="376"/>
      <c r="I154" s="347"/>
      <c r="J154" s="347"/>
      <c r="K154" s="347"/>
      <c r="L154" s="347"/>
      <c r="M154" s="347"/>
      <c r="N154" s="347"/>
      <c r="O154" s="347"/>
    </row>
    <row r="155" spans="1:15" s="348" customFormat="1" ht="12.75">
      <c r="A155" s="387"/>
      <c r="B155" s="387"/>
      <c r="C155" s="347"/>
      <c r="F155" s="376"/>
      <c r="I155" s="347"/>
      <c r="J155" s="347"/>
      <c r="K155" s="347"/>
      <c r="L155" s="347"/>
      <c r="M155" s="347"/>
      <c r="N155" s="347"/>
      <c r="O155" s="347"/>
    </row>
    <row r="156" spans="1:15" s="348" customFormat="1" ht="12.75">
      <c r="A156" s="387"/>
      <c r="B156" s="387"/>
      <c r="C156" s="347"/>
      <c r="F156" s="376"/>
      <c r="I156" s="347"/>
      <c r="J156" s="347"/>
      <c r="K156" s="347"/>
      <c r="L156" s="347"/>
      <c r="M156" s="347"/>
      <c r="N156" s="347"/>
      <c r="O156" s="347"/>
    </row>
    <row r="157" spans="1:15" s="348" customFormat="1" ht="12.75">
      <c r="A157" s="387"/>
      <c r="B157" s="387"/>
      <c r="C157" s="347"/>
      <c r="F157" s="376"/>
      <c r="I157" s="347"/>
      <c r="J157" s="347"/>
      <c r="K157" s="347"/>
      <c r="L157" s="347"/>
      <c r="M157" s="347"/>
      <c r="N157" s="347"/>
      <c r="O157" s="347"/>
    </row>
    <row r="158" spans="1:15" s="348" customFormat="1" ht="12.75">
      <c r="A158" s="387"/>
      <c r="B158" s="387"/>
      <c r="C158" s="347"/>
      <c r="F158" s="376"/>
      <c r="I158" s="347"/>
      <c r="J158" s="347"/>
      <c r="K158" s="347"/>
      <c r="L158" s="347"/>
      <c r="M158" s="347"/>
      <c r="N158" s="347"/>
      <c r="O158" s="347"/>
    </row>
    <row r="159" spans="1:15" s="348" customFormat="1" ht="12.75">
      <c r="A159" s="387"/>
      <c r="B159" s="387"/>
      <c r="C159" s="347"/>
      <c r="F159" s="376"/>
      <c r="I159" s="347"/>
      <c r="J159" s="347"/>
      <c r="K159" s="347"/>
      <c r="L159" s="347"/>
      <c r="M159" s="347"/>
      <c r="N159" s="347"/>
      <c r="O159" s="347"/>
    </row>
    <row r="160" spans="1:15" s="348" customFormat="1" ht="12.75">
      <c r="A160" s="387"/>
      <c r="B160" s="387"/>
      <c r="C160" s="347"/>
      <c r="F160" s="376"/>
      <c r="I160" s="347"/>
      <c r="J160" s="347"/>
      <c r="K160" s="347"/>
      <c r="L160" s="347"/>
      <c r="M160" s="347"/>
      <c r="N160" s="347"/>
      <c r="O160" s="347"/>
    </row>
    <row r="161" spans="1:15" s="348" customFormat="1" ht="12.75">
      <c r="A161" s="387"/>
      <c r="B161" s="387"/>
      <c r="C161" s="347"/>
      <c r="F161" s="376"/>
      <c r="I161" s="347"/>
      <c r="J161" s="347"/>
      <c r="K161" s="347"/>
      <c r="L161" s="347"/>
      <c r="M161" s="347"/>
      <c r="N161" s="347"/>
      <c r="O161" s="347"/>
    </row>
    <row r="162" spans="1:15" s="348" customFormat="1" ht="12.75">
      <c r="A162" s="387"/>
      <c r="B162" s="387"/>
      <c r="C162" s="347"/>
      <c r="F162" s="376"/>
      <c r="I162" s="347"/>
      <c r="J162" s="347"/>
      <c r="K162" s="347"/>
      <c r="L162" s="347"/>
      <c r="M162" s="347"/>
      <c r="N162" s="347"/>
      <c r="O162" s="347"/>
    </row>
    <row r="163" spans="1:15" s="348" customFormat="1" ht="12.75">
      <c r="A163" s="387"/>
      <c r="B163" s="387"/>
      <c r="C163" s="347"/>
      <c r="F163" s="376"/>
      <c r="I163" s="347"/>
      <c r="J163" s="347"/>
      <c r="K163" s="347"/>
      <c r="L163" s="347"/>
      <c r="M163" s="347"/>
      <c r="N163" s="347"/>
      <c r="O163" s="347"/>
    </row>
    <row r="164" spans="1:15" s="348" customFormat="1" ht="12.75">
      <c r="A164" s="387"/>
      <c r="B164" s="387"/>
      <c r="C164" s="347"/>
      <c r="F164" s="376"/>
      <c r="I164" s="347"/>
      <c r="J164" s="347"/>
      <c r="K164" s="347"/>
      <c r="L164" s="347"/>
      <c r="M164" s="347"/>
      <c r="N164" s="347"/>
      <c r="O164" s="347"/>
    </row>
    <row r="165" spans="1:15" s="348" customFormat="1" ht="12.75">
      <c r="A165" s="387"/>
      <c r="B165" s="387"/>
      <c r="C165" s="347"/>
      <c r="F165" s="376"/>
      <c r="I165" s="347"/>
      <c r="J165" s="347"/>
      <c r="K165" s="347"/>
      <c r="L165" s="347"/>
      <c r="M165" s="347"/>
      <c r="N165" s="347"/>
      <c r="O165" s="347"/>
    </row>
    <row r="166" spans="1:15" s="348" customFormat="1" ht="12.75">
      <c r="A166" s="387"/>
      <c r="B166" s="387"/>
      <c r="C166" s="347"/>
      <c r="F166" s="376"/>
      <c r="I166" s="347"/>
      <c r="J166" s="347"/>
      <c r="K166" s="347"/>
      <c r="L166" s="347"/>
      <c r="M166" s="347"/>
      <c r="N166" s="347"/>
      <c r="O166" s="347"/>
    </row>
    <row r="167" spans="1:15" s="348" customFormat="1" ht="12.75">
      <c r="A167" s="387"/>
      <c r="B167" s="387"/>
      <c r="C167" s="347"/>
      <c r="F167" s="376"/>
      <c r="I167" s="347"/>
      <c r="J167" s="347"/>
      <c r="K167" s="347"/>
      <c r="L167" s="347"/>
      <c r="M167" s="347"/>
      <c r="N167" s="347"/>
      <c r="O167" s="347"/>
    </row>
    <row r="168" spans="1:15" s="348" customFormat="1" ht="12.75">
      <c r="A168" s="387"/>
      <c r="B168" s="387"/>
      <c r="C168" s="347"/>
      <c r="F168" s="376"/>
      <c r="I168" s="347"/>
      <c r="J168" s="347"/>
      <c r="K168" s="347"/>
      <c r="L168" s="347"/>
      <c r="M168" s="347"/>
      <c r="N168" s="347"/>
      <c r="O168" s="347"/>
    </row>
    <row r="169" spans="1:15" s="348" customFormat="1" ht="12.75">
      <c r="A169" s="387"/>
      <c r="B169" s="387"/>
      <c r="C169" s="347"/>
      <c r="F169" s="376"/>
      <c r="I169" s="347"/>
      <c r="J169" s="347"/>
      <c r="K169" s="347"/>
      <c r="L169" s="347"/>
      <c r="M169" s="347"/>
      <c r="N169" s="347"/>
      <c r="O169" s="347"/>
    </row>
    <row r="170" spans="1:15" s="348" customFormat="1" ht="12.75">
      <c r="A170" s="387"/>
      <c r="B170" s="387"/>
      <c r="C170" s="347"/>
      <c r="F170" s="376"/>
      <c r="I170" s="347"/>
      <c r="J170" s="347"/>
      <c r="K170" s="347"/>
      <c r="L170" s="347"/>
      <c r="M170" s="347"/>
      <c r="N170" s="347"/>
      <c r="O170" s="347"/>
    </row>
    <row r="171" spans="1:15" s="348" customFormat="1" ht="12.75">
      <c r="A171" s="387"/>
      <c r="B171" s="387"/>
      <c r="C171" s="347"/>
      <c r="F171" s="376"/>
      <c r="I171" s="347"/>
      <c r="J171" s="347"/>
      <c r="K171" s="347"/>
      <c r="L171" s="347"/>
      <c r="M171" s="347"/>
      <c r="N171" s="347"/>
      <c r="O171" s="347"/>
    </row>
    <row r="172" spans="1:15" s="348" customFormat="1" ht="12.75">
      <c r="A172" s="387"/>
      <c r="B172" s="387"/>
      <c r="C172" s="347"/>
      <c r="F172" s="376"/>
      <c r="I172" s="347"/>
      <c r="J172" s="347"/>
      <c r="K172" s="347"/>
      <c r="L172" s="347"/>
      <c r="M172" s="347"/>
      <c r="N172" s="347"/>
      <c r="O172" s="347"/>
    </row>
    <row r="173" spans="1:15" s="348" customFormat="1" ht="12.75">
      <c r="A173" s="387"/>
      <c r="B173" s="387"/>
      <c r="C173" s="347"/>
      <c r="F173" s="376"/>
      <c r="I173" s="347"/>
      <c r="J173" s="347"/>
      <c r="K173" s="347"/>
      <c r="L173" s="347"/>
      <c r="M173" s="347"/>
      <c r="N173" s="347"/>
      <c r="O173" s="347"/>
    </row>
    <row r="174" spans="1:15" s="348" customFormat="1" ht="12.75">
      <c r="A174" s="387"/>
      <c r="B174" s="387"/>
      <c r="C174" s="347"/>
      <c r="F174" s="376"/>
      <c r="I174" s="347"/>
      <c r="J174" s="347"/>
      <c r="K174" s="347"/>
      <c r="L174" s="347"/>
      <c r="M174" s="347"/>
      <c r="N174" s="347"/>
      <c r="O174" s="347"/>
    </row>
    <row r="175" spans="1:15" s="348" customFormat="1" ht="12.75">
      <c r="A175" s="387"/>
      <c r="B175" s="387"/>
      <c r="C175" s="347"/>
      <c r="F175" s="376"/>
      <c r="I175" s="347"/>
      <c r="J175" s="347"/>
      <c r="K175" s="347"/>
      <c r="L175" s="347"/>
      <c r="M175" s="347"/>
      <c r="N175" s="347"/>
      <c r="O175" s="347"/>
    </row>
    <row r="176" spans="1:15" s="348" customFormat="1" ht="12.75">
      <c r="A176" s="375"/>
      <c r="B176" s="375"/>
      <c r="C176" s="347"/>
      <c r="F176" s="376"/>
      <c r="I176" s="347"/>
      <c r="J176" s="347"/>
      <c r="K176" s="347"/>
      <c r="L176" s="347"/>
      <c r="M176" s="347"/>
      <c r="N176" s="347"/>
      <c r="O176" s="347"/>
    </row>
    <row r="177" spans="1:15" s="348" customFormat="1" ht="12.75">
      <c r="A177" s="375"/>
      <c r="B177" s="375"/>
      <c r="C177" s="347"/>
      <c r="F177" s="376"/>
      <c r="I177" s="347"/>
      <c r="J177" s="347"/>
      <c r="K177" s="347"/>
      <c r="L177" s="347"/>
      <c r="M177" s="347"/>
      <c r="N177" s="347"/>
      <c r="O177" s="347"/>
    </row>
    <row r="178" spans="1:15" s="348" customFormat="1" ht="12.75">
      <c r="A178" s="375"/>
      <c r="B178" s="375"/>
      <c r="C178" s="347"/>
      <c r="F178" s="376"/>
      <c r="I178" s="347"/>
      <c r="J178" s="347"/>
      <c r="K178" s="347"/>
      <c r="L178" s="347"/>
      <c r="M178" s="347"/>
      <c r="N178" s="347"/>
      <c r="O178" s="347"/>
    </row>
    <row r="179" spans="1:15" s="348" customFormat="1" ht="12.75">
      <c r="A179" s="375"/>
      <c r="B179" s="375"/>
      <c r="C179" s="347"/>
      <c r="F179" s="376"/>
      <c r="I179" s="347"/>
      <c r="J179" s="347"/>
      <c r="K179" s="347"/>
      <c r="L179" s="347"/>
      <c r="M179" s="347"/>
      <c r="N179" s="347"/>
      <c r="O179" s="347"/>
    </row>
    <row r="180" spans="1:15" s="348" customFormat="1" ht="12.75">
      <c r="A180" s="375"/>
      <c r="B180" s="375"/>
      <c r="C180" s="347"/>
      <c r="F180" s="376"/>
      <c r="I180" s="347"/>
      <c r="J180" s="347"/>
      <c r="K180" s="347"/>
      <c r="L180" s="347"/>
      <c r="M180" s="347"/>
      <c r="N180" s="347"/>
      <c r="O180" s="347"/>
    </row>
    <row r="181" spans="1:15" s="348" customFormat="1" ht="12.75">
      <c r="A181" s="375"/>
      <c r="B181" s="375"/>
      <c r="C181" s="347"/>
      <c r="F181" s="376"/>
      <c r="I181" s="347"/>
      <c r="J181" s="347"/>
      <c r="K181" s="347"/>
      <c r="L181" s="347"/>
      <c r="M181" s="347"/>
      <c r="N181" s="347"/>
      <c r="O181" s="347"/>
    </row>
    <row r="182" spans="1:15" s="348" customFormat="1" ht="12.75">
      <c r="A182" s="375"/>
      <c r="B182" s="375"/>
      <c r="C182" s="347"/>
      <c r="F182" s="376"/>
      <c r="I182" s="347"/>
      <c r="J182" s="347"/>
      <c r="K182" s="347"/>
      <c r="L182" s="347"/>
      <c r="M182" s="347"/>
      <c r="N182" s="347"/>
      <c r="O182" s="347"/>
    </row>
    <row r="183" spans="1:15" s="348" customFormat="1" ht="12.75">
      <c r="A183" s="375"/>
      <c r="B183" s="375"/>
      <c r="C183" s="347"/>
      <c r="F183" s="376"/>
      <c r="I183" s="347"/>
      <c r="J183" s="347"/>
      <c r="K183" s="347"/>
      <c r="L183" s="347"/>
      <c r="M183" s="347"/>
      <c r="N183" s="347"/>
      <c r="O183" s="347"/>
    </row>
    <row r="184" spans="1:15" s="348" customFormat="1" ht="12.75">
      <c r="A184" s="375"/>
      <c r="B184" s="375"/>
      <c r="C184" s="347"/>
      <c r="F184" s="376"/>
      <c r="I184" s="347"/>
      <c r="J184" s="347"/>
      <c r="K184" s="347"/>
      <c r="L184" s="347"/>
      <c r="M184" s="347"/>
      <c r="N184" s="347"/>
      <c r="O184" s="347"/>
    </row>
    <row r="185" spans="1:15" s="348" customFormat="1" ht="12.75">
      <c r="A185" s="375"/>
      <c r="B185" s="375"/>
      <c r="C185" s="347"/>
      <c r="F185" s="376"/>
      <c r="I185" s="347"/>
      <c r="J185" s="347"/>
      <c r="K185" s="347"/>
      <c r="L185" s="347"/>
      <c r="M185" s="347"/>
      <c r="N185" s="347"/>
      <c r="O185" s="347"/>
    </row>
    <row r="186" spans="1:15" s="348" customFormat="1" ht="12.75">
      <c r="A186" s="375"/>
      <c r="B186" s="375"/>
      <c r="C186" s="347"/>
      <c r="F186" s="376"/>
      <c r="I186" s="347"/>
      <c r="J186" s="347"/>
      <c r="K186" s="347"/>
      <c r="L186" s="347"/>
      <c r="M186" s="347"/>
      <c r="N186" s="347"/>
      <c r="O186" s="347"/>
    </row>
    <row r="187" spans="1:15" s="348" customFormat="1" ht="12.75">
      <c r="A187" s="375"/>
      <c r="B187" s="375"/>
      <c r="C187" s="347"/>
      <c r="F187" s="376"/>
      <c r="I187" s="347"/>
      <c r="J187" s="347"/>
      <c r="K187" s="347"/>
      <c r="L187" s="347"/>
      <c r="M187" s="347"/>
      <c r="N187" s="347"/>
      <c r="O187" s="347"/>
    </row>
    <row r="188" spans="1:15" s="348" customFormat="1" ht="12.75">
      <c r="A188" s="375"/>
      <c r="B188" s="375"/>
      <c r="C188" s="347"/>
      <c r="F188" s="376"/>
      <c r="I188" s="347"/>
      <c r="J188" s="347"/>
      <c r="K188" s="347"/>
      <c r="L188" s="347"/>
      <c r="M188" s="347"/>
      <c r="N188" s="347"/>
      <c r="O188" s="347"/>
    </row>
    <row r="189" spans="1:15" s="348" customFormat="1" ht="12.75">
      <c r="A189" s="375"/>
      <c r="B189" s="375"/>
      <c r="C189" s="347"/>
      <c r="F189" s="376"/>
      <c r="I189" s="347"/>
      <c r="J189" s="347"/>
      <c r="K189" s="347"/>
      <c r="L189" s="347"/>
      <c r="M189" s="347"/>
      <c r="N189" s="347"/>
      <c r="O189" s="347"/>
    </row>
    <row r="190" spans="1:15" s="348" customFormat="1" ht="12.75">
      <c r="A190" s="375"/>
      <c r="B190" s="375"/>
      <c r="C190" s="347"/>
      <c r="F190" s="376"/>
      <c r="I190" s="347"/>
      <c r="J190" s="347"/>
      <c r="K190" s="347"/>
      <c r="L190" s="347"/>
      <c r="M190" s="347"/>
      <c r="N190" s="347"/>
      <c r="O190" s="347"/>
    </row>
    <row r="191" spans="1:15" s="348" customFormat="1" ht="12.75">
      <c r="A191" s="375"/>
      <c r="B191" s="375"/>
      <c r="C191" s="347"/>
      <c r="F191" s="376"/>
      <c r="I191" s="347"/>
      <c r="J191" s="347"/>
      <c r="K191" s="347"/>
      <c r="L191" s="347"/>
      <c r="M191" s="347"/>
      <c r="N191" s="347"/>
      <c r="O191" s="347"/>
    </row>
    <row r="192" spans="1:15" s="348" customFormat="1" ht="12.75">
      <c r="A192" s="375"/>
      <c r="B192" s="375"/>
      <c r="C192" s="347"/>
      <c r="F192" s="376"/>
      <c r="I192" s="347"/>
      <c r="J192" s="347"/>
      <c r="K192" s="347"/>
      <c r="L192" s="347"/>
      <c r="M192" s="347"/>
      <c r="N192" s="347"/>
      <c r="O192" s="347"/>
    </row>
    <row r="193" spans="1:15" s="348" customFormat="1" ht="12.75">
      <c r="A193" s="375"/>
      <c r="B193" s="375"/>
      <c r="C193" s="347"/>
      <c r="F193" s="376"/>
      <c r="I193" s="347"/>
      <c r="J193" s="347"/>
      <c r="K193" s="347"/>
      <c r="L193" s="347"/>
      <c r="M193" s="347"/>
      <c r="N193" s="347"/>
      <c r="O193" s="347"/>
    </row>
    <row r="194" spans="1:15" s="348" customFormat="1" ht="12.75">
      <c r="A194" s="375"/>
      <c r="B194" s="375"/>
      <c r="C194" s="347"/>
      <c r="F194" s="376"/>
      <c r="I194" s="347"/>
      <c r="J194" s="347"/>
      <c r="K194" s="347"/>
      <c r="L194" s="347"/>
      <c r="M194" s="347"/>
      <c r="N194" s="347"/>
      <c r="O194" s="347"/>
    </row>
    <row r="195" spans="1:15" s="348" customFormat="1" ht="12.75">
      <c r="A195" s="375"/>
      <c r="B195" s="375"/>
      <c r="C195" s="347"/>
      <c r="F195" s="376"/>
      <c r="I195" s="347"/>
      <c r="J195" s="347"/>
      <c r="K195" s="347"/>
      <c r="L195" s="347"/>
      <c r="M195" s="347"/>
      <c r="N195" s="347"/>
      <c r="O195" s="347"/>
    </row>
    <row r="196" spans="1:15" s="348" customFormat="1" ht="12.75">
      <c r="A196" s="375"/>
      <c r="B196" s="375"/>
      <c r="C196" s="347"/>
      <c r="F196" s="376"/>
      <c r="I196" s="347"/>
      <c r="J196" s="347"/>
      <c r="K196" s="347"/>
      <c r="L196" s="347"/>
      <c r="M196" s="347"/>
      <c r="N196" s="347"/>
      <c r="O196" s="347"/>
    </row>
    <row r="197" spans="1:15" s="348" customFormat="1" ht="12.75">
      <c r="A197" s="375"/>
      <c r="B197" s="375"/>
      <c r="C197" s="347"/>
      <c r="F197" s="376"/>
      <c r="I197" s="347"/>
      <c r="J197" s="347"/>
      <c r="K197" s="347"/>
      <c r="L197" s="347"/>
      <c r="M197" s="347"/>
      <c r="N197" s="347"/>
      <c r="O197" s="347"/>
    </row>
    <row r="198" spans="1:15" s="348" customFormat="1" ht="12.75">
      <c r="A198" s="375"/>
      <c r="B198" s="375"/>
      <c r="C198" s="347"/>
      <c r="F198" s="376"/>
      <c r="I198" s="347"/>
      <c r="J198" s="347"/>
      <c r="K198" s="347"/>
      <c r="L198" s="347"/>
      <c r="M198" s="347"/>
      <c r="N198" s="347"/>
      <c r="O198" s="347"/>
    </row>
    <row r="199" spans="1:15" s="348" customFormat="1" ht="12.75">
      <c r="A199" s="375"/>
      <c r="B199" s="375"/>
      <c r="C199" s="347"/>
      <c r="F199" s="376"/>
      <c r="I199" s="347"/>
      <c r="J199" s="347"/>
      <c r="K199" s="347"/>
      <c r="L199" s="347"/>
      <c r="M199" s="347"/>
      <c r="N199" s="347"/>
      <c r="O199" s="347"/>
    </row>
    <row r="200" spans="1:15" s="348" customFormat="1" ht="12.75">
      <c r="A200" s="375"/>
      <c r="B200" s="375"/>
      <c r="C200" s="347"/>
      <c r="F200" s="376"/>
      <c r="I200" s="347"/>
      <c r="J200" s="347"/>
      <c r="K200" s="347"/>
      <c r="L200" s="347"/>
      <c r="M200" s="347"/>
      <c r="N200" s="347"/>
      <c r="O200" s="347"/>
    </row>
    <row r="201" spans="1:15" s="348" customFormat="1" ht="12.75">
      <c r="A201" s="375"/>
      <c r="B201" s="375"/>
      <c r="C201" s="347"/>
      <c r="F201" s="376"/>
      <c r="I201" s="347"/>
      <c r="J201" s="347"/>
      <c r="K201" s="347"/>
      <c r="L201" s="347"/>
      <c r="M201" s="347"/>
      <c r="N201" s="347"/>
      <c r="O201" s="347"/>
    </row>
    <row r="202" spans="1:15" s="348" customFormat="1" ht="12.75">
      <c r="A202" s="375"/>
      <c r="B202" s="375"/>
      <c r="C202" s="347"/>
      <c r="F202" s="376"/>
      <c r="I202" s="347"/>
      <c r="J202" s="347"/>
      <c r="K202" s="347"/>
      <c r="L202" s="347"/>
      <c r="M202" s="347"/>
      <c r="N202" s="347"/>
      <c r="O202" s="347"/>
    </row>
    <row r="203" spans="1:15" s="348" customFormat="1" ht="12.75">
      <c r="A203" s="375"/>
      <c r="B203" s="375"/>
      <c r="C203" s="347"/>
      <c r="F203" s="376"/>
      <c r="I203" s="347"/>
      <c r="J203" s="347"/>
      <c r="K203" s="347"/>
      <c r="L203" s="347"/>
      <c r="M203" s="347"/>
      <c r="N203" s="347"/>
      <c r="O203" s="347"/>
    </row>
    <row r="204" spans="1:15" s="348" customFormat="1" ht="12.75">
      <c r="A204" s="375"/>
      <c r="B204" s="375"/>
      <c r="C204" s="347"/>
      <c r="F204" s="376"/>
      <c r="I204" s="347"/>
      <c r="J204" s="347"/>
      <c r="K204" s="347"/>
      <c r="L204" s="347"/>
      <c r="M204" s="347"/>
      <c r="N204" s="347"/>
      <c r="O204" s="347"/>
    </row>
    <row r="205" spans="1:15" s="348" customFormat="1" ht="12.75">
      <c r="A205" s="375"/>
      <c r="B205" s="375"/>
      <c r="C205" s="347"/>
      <c r="F205" s="376"/>
      <c r="I205" s="347"/>
      <c r="J205" s="347"/>
      <c r="K205" s="347"/>
      <c r="L205" s="347"/>
      <c r="M205" s="347"/>
      <c r="N205" s="347"/>
      <c r="O205" s="347"/>
    </row>
    <row r="206" spans="1:15" s="348" customFormat="1" ht="12.75">
      <c r="A206" s="375"/>
      <c r="B206" s="375"/>
      <c r="C206" s="347"/>
      <c r="F206" s="376"/>
      <c r="I206" s="347"/>
      <c r="J206" s="347"/>
      <c r="K206" s="347"/>
      <c r="L206" s="347"/>
      <c r="M206" s="347"/>
      <c r="N206" s="347"/>
      <c r="O206" s="347"/>
    </row>
    <row r="207" spans="1:15" s="348" customFormat="1" ht="12.75">
      <c r="A207" s="375"/>
      <c r="B207" s="375"/>
      <c r="C207" s="347"/>
      <c r="F207" s="376"/>
      <c r="I207" s="347"/>
      <c r="J207" s="347"/>
      <c r="K207" s="347"/>
      <c r="L207" s="347"/>
      <c r="M207" s="347"/>
      <c r="N207" s="347"/>
      <c r="O207" s="347"/>
    </row>
    <row r="208" spans="1:15" s="348" customFormat="1" ht="12.75">
      <c r="A208" s="375"/>
      <c r="B208" s="375"/>
      <c r="C208" s="347"/>
      <c r="F208" s="376"/>
      <c r="I208" s="347"/>
      <c r="J208" s="347"/>
      <c r="K208" s="347"/>
      <c r="L208" s="347"/>
      <c r="M208" s="347"/>
      <c r="N208" s="347"/>
      <c r="O208" s="347"/>
    </row>
    <row r="209" spans="1:15" s="348" customFormat="1" ht="12.75">
      <c r="A209" s="375"/>
      <c r="B209" s="375"/>
      <c r="C209" s="347"/>
      <c r="F209" s="376"/>
      <c r="I209" s="347"/>
      <c r="J209" s="347"/>
      <c r="K209" s="347"/>
      <c r="L209" s="347"/>
      <c r="M209" s="347"/>
      <c r="N209" s="347"/>
      <c r="O209" s="347"/>
    </row>
    <row r="210" spans="1:15" s="348" customFormat="1" ht="12.75">
      <c r="A210" s="375"/>
      <c r="B210" s="375"/>
      <c r="C210" s="347"/>
      <c r="F210" s="376"/>
      <c r="I210" s="347"/>
      <c r="J210" s="347"/>
      <c r="K210" s="347"/>
      <c r="L210" s="347"/>
      <c r="M210" s="347"/>
      <c r="N210" s="347"/>
      <c r="O210" s="347"/>
    </row>
    <row r="211" spans="1:15" s="348" customFormat="1" ht="12.75">
      <c r="A211" s="375"/>
      <c r="B211" s="375"/>
      <c r="C211" s="347"/>
      <c r="F211" s="376"/>
      <c r="I211" s="347"/>
      <c r="J211" s="347"/>
      <c r="K211" s="347"/>
      <c r="L211" s="347"/>
      <c r="M211" s="347"/>
      <c r="N211" s="347"/>
      <c r="O211" s="347"/>
    </row>
    <row r="212" spans="1:15" s="348" customFormat="1" ht="12.75">
      <c r="A212" s="375"/>
      <c r="B212" s="375"/>
      <c r="C212" s="347"/>
      <c r="F212" s="376"/>
      <c r="I212" s="347"/>
      <c r="J212" s="347"/>
      <c r="K212" s="347"/>
      <c r="L212" s="347"/>
      <c r="M212" s="347"/>
      <c r="N212" s="347"/>
      <c r="O212" s="347"/>
    </row>
    <row r="213" spans="1:15" s="348" customFormat="1" ht="12.75">
      <c r="A213" s="375"/>
      <c r="B213" s="375"/>
      <c r="C213" s="347"/>
      <c r="F213" s="376"/>
      <c r="I213" s="347"/>
      <c r="J213" s="347"/>
      <c r="K213" s="347"/>
      <c r="L213" s="347"/>
      <c r="M213" s="347"/>
      <c r="N213" s="347"/>
      <c r="O213" s="347"/>
    </row>
    <row r="214" spans="1:15" s="348" customFormat="1" ht="12.75">
      <c r="A214" s="375"/>
      <c r="B214" s="375"/>
      <c r="C214" s="347"/>
      <c r="F214" s="376"/>
      <c r="I214" s="347"/>
      <c r="J214" s="347"/>
      <c r="K214" s="347"/>
      <c r="L214" s="347"/>
      <c r="M214" s="347"/>
      <c r="N214" s="347"/>
      <c r="O214" s="347"/>
    </row>
    <row r="215" spans="1:15" s="348" customFormat="1" ht="12.75">
      <c r="A215" s="375"/>
      <c r="B215" s="375"/>
      <c r="C215" s="347"/>
      <c r="F215" s="376"/>
      <c r="I215" s="347"/>
      <c r="J215" s="347"/>
      <c r="K215" s="347"/>
      <c r="L215" s="347"/>
      <c r="M215" s="347"/>
      <c r="N215" s="347"/>
      <c r="O215" s="347"/>
    </row>
    <row r="216" spans="1:15" s="348" customFormat="1" ht="12.75">
      <c r="A216" s="375"/>
      <c r="B216" s="375"/>
      <c r="C216" s="347"/>
      <c r="F216" s="376"/>
      <c r="I216" s="347"/>
      <c r="J216" s="347"/>
      <c r="K216" s="347"/>
      <c r="L216" s="347"/>
      <c r="M216" s="347"/>
      <c r="N216" s="347"/>
      <c r="O216" s="347"/>
    </row>
    <row r="217" spans="1:15" s="348" customFormat="1" ht="12.75">
      <c r="A217" s="375"/>
      <c r="B217" s="375"/>
      <c r="C217" s="347"/>
      <c r="F217" s="376"/>
      <c r="I217" s="347"/>
      <c r="J217" s="347"/>
      <c r="K217" s="347"/>
      <c r="L217" s="347"/>
      <c r="M217" s="347"/>
      <c r="N217" s="347"/>
      <c r="O217" s="347"/>
    </row>
    <row r="218" spans="1:15" s="348" customFormat="1" ht="12.75">
      <c r="A218" s="375"/>
      <c r="B218" s="375"/>
      <c r="C218" s="347"/>
      <c r="F218" s="376"/>
      <c r="I218" s="347"/>
      <c r="J218" s="347"/>
      <c r="K218" s="347"/>
      <c r="L218" s="347"/>
      <c r="M218" s="347"/>
      <c r="N218" s="347"/>
      <c r="O218" s="347"/>
    </row>
    <row r="219" spans="1:15" s="348" customFormat="1" ht="12.75">
      <c r="A219" s="375"/>
      <c r="B219" s="375"/>
      <c r="C219" s="347"/>
      <c r="F219" s="376"/>
      <c r="I219" s="347"/>
      <c r="J219" s="347"/>
      <c r="K219" s="347"/>
      <c r="L219" s="347"/>
      <c r="M219" s="347"/>
      <c r="N219" s="347"/>
      <c r="O219" s="347"/>
    </row>
    <row r="220" spans="1:15" s="348" customFormat="1" ht="12.75">
      <c r="A220" s="375"/>
      <c r="B220" s="375"/>
      <c r="C220" s="347"/>
      <c r="F220" s="376"/>
      <c r="I220" s="347"/>
      <c r="J220" s="347"/>
      <c r="K220" s="347"/>
      <c r="L220" s="347"/>
      <c r="M220" s="347"/>
      <c r="N220" s="347"/>
      <c r="O220" s="347"/>
    </row>
    <row r="221" spans="1:15" s="348" customFormat="1" ht="12.75">
      <c r="A221" s="375"/>
      <c r="B221" s="375"/>
      <c r="C221" s="347"/>
      <c r="F221" s="376"/>
      <c r="I221" s="347"/>
      <c r="J221" s="347"/>
      <c r="K221" s="347"/>
      <c r="L221" s="347"/>
      <c r="M221" s="347"/>
      <c r="N221" s="347"/>
      <c r="O221" s="347"/>
    </row>
    <row r="222" spans="1:15" s="348" customFormat="1" ht="12.75">
      <c r="A222" s="375"/>
      <c r="B222" s="375"/>
      <c r="C222" s="347"/>
      <c r="F222" s="376"/>
      <c r="I222" s="347"/>
      <c r="J222" s="347"/>
      <c r="K222" s="347"/>
      <c r="L222" s="347"/>
      <c r="M222" s="347"/>
      <c r="N222" s="347"/>
      <c r="O222" s="347"/>
    </row>
    <row r="223" spans="1:15" s="348" customFormat="1" ht="12.75">
      <c r="A223" s="375"/>
      <c r="B223" s="375"/>
      <c r="C223" s="347"/>
      <c r="F223" s="376"/>
      <c r="I223" s="347"/>
      <c r="J223" s="347"/>
      <c r="K223" s="347"/>
      <c r="L223" s="347"/>
      <c r="M223" s="347"/>
      <c r="N223" s="347"/>
      <c r="O223" s="347"/>
    </row>
    <row r="224" spans="1:15" s="348" customFormat="1" ht="12.75">
      <c r="A224" s="375"/>
      <c r="B224" s="375"/>
      <c r="C224" s="347"/>
      <c r="F224" s="376"/>
      <c r="I224" s="347"/>
      <c r="J224" s="347"/>
      <c r="K224" s="347"/>
      <c r="L224" s="347"/>
      <c r="M224" s="347"/>
      <c r="N224" s="347"/>
      <c r="O224" s="347"/>
    </row>
    <row r="225" spans="1:15" s="348" customFormat="1" ht="12.75">
      <c r="A225" s="375"/>
      <c r="B225" s="375"/>
      <c r="C225" s="347"/>
      <c r="F225" s="376"/>
      <c r="I225" s="347"/>
      <c r="J225" s="347"/>
      <c r="K225" s="347"/>
      <c r="L225" s="347"/>
      <c r="M225" s="347"/>
      <c r="N225" s="347"/>
      <c r="O225" s="347"/>
    </row>
    <row r="226" spans="1:15" s="348" customFormat="1" ht="12.75">
      <c r="A226" s="375"/>
      <c r="B226" s="375"/>
      <c r="C226" s="347"/>
      <c r="F226" s="376"/>
      <c r="I226" s="347"/>
      <c r="J226" s="347"/>
      <c r="K226" s="347"/>
      <c r="L226" s="347"/>
      <c r="M226" s="347"/>
      <c r="N226" s="347"/>
      <c r="O226" s="347"/>
    </row>
    <row r="227" spans="1:15" s="348" customFormat="1" ht="12.75">
      <c r="A227" s="375"/>
      <c r="B227" s="375"/>
      <c r="C227" s="347"/>
      <c r="F227" s="376"/>
      <c r="I227" s="347"/>
      <c r="J227" s="347"/>
      <c r="K227" s="347"/>
      <c r="L227" s="347"/>
      <c r="M227" s="347"/>
      <c r="N227" s="347"/>
      <c r="O227" s="347"/>
    </row>
    <row r="228" spans="1:15" s="348" customFormat="1" ht="12.75">
      <c r="A228" s="375"/>
      <c r="B228" s="375"/>
      <c r="C228" s="347"/>
      <c r="F228" s="376"/>
      <c r="I228" s="347"/>
      <c r="J228" s="347"/>
      <c r="K228" s="347"/>
      <c r="L228" s="347"/>
      <c r="M228" s="347"/>
      <c r="N228" s="347"/>
      <c r="O228" s="347"/>
    </row>
    <row r="229" spans="1:15" s="348" customFormat="1" ht="12.75">
      <c r="A229" s="375"/>
      <c r="B229" s="375"/>
      <c r="C229" s="347"/>
      <c r="F229" s="376"/>
      <c r="I229" s="347"/>
      <c r="J229" s="347"/>
      <c r="K229" s="347"/>
      <c r="L229" s="347"/>
      <c r="M229" s="347"/>
      <c r="N229" s="347"/>
      <c r="O229" s="347"/>
    </row>
    <row r="230" spans="1:15" s="348" customFormat="1" ht="12.75">
      <c r="A230" s="375"/>
      <c r="B230" s="375"/>
      <c r="C230" s="347"/>
      <c r="F230" s="376"/>
      <c r="I230" s="347"/>
      <c r="J230" s="347"/>
      <c r="K230" s="347"/>
      <c r="L230" s="347"/>
      <c r="M230" s="347"/>
      <c r="N230" s="347"/>
      <c r="O230" s="347"/>
    </row>
    <row r="231" spans="1:15" s="348" customFormat="1" ht="12.75">
      <c r="A231" s="375"/>
      <c r="B231" s="375"/>
      <c r="C231" s="347"/>
      <c r="F231" s="376"/>
      <c r="I231" s="347"/>
      <c r="J231" s="347"/>
      <c r="K231" s="347"/>
      <c r="L231" s="347"/>
      <c r="M231" s="347"/>
      <c r="N231" s="347"/>
      <c r="O231" s="347"/>
    </row>
    <row r="232" spans="1:15" s="348" customFormat="1" ht="12.75">
      <c r="A232" s="375"/>
      <c r="B232" s="375"/>
      <c r="C232" s="347"/>
      <c r="F232" s="376"/>
      <c r="I232" s="347"/>
      <c r="J232" s="347"/>
      <c r="K232" s="347"/>
      <c r="L232" s="347"/>
      <c r="M232" s="347"/>
      <c r="N232" s="347"/>
      <c r="O232" s="347"/>
    </row>
    <row r="233" spans="1:15" s="348" customFormat="1" ht="12.75">
      <c r="A233" s="375"/>
      <c r="B233" s="375"/>
      <c r="C233" s="347"/>
      <c r="F233" s="376"/>
      <c r="I233" s="347"/>
      <c r="J233" s="347"/>
      <c r="K233" s="347"/>
      <c r="L233" s="347"/>
      <c r="M233" s="347"/>
      <c r="N233" s="347"/>
      <c r="O233" s="347"/>
    </row>
    <row r="234" spans="1:15" s="348" customFormat="1" ht="12.75">
      <c r="A234" s="375"/>
      <c r="B234" s="375"/>
      <c r="C234" s="347"/>
      <c r="F234" s="376"/>
      <c r="I234" s="347"/>
      <c r="J234" s="347"/>
      <c r="K234" s="347"/>
      <c r="L234" s="347"/>
      <c r="M234" s="347"/>
      <c r="N234" s="347"/>
      <c r="O234" s="347"/>
    </row>
    <row r="235" spans="1:15" s="348" customFormat="1" ht="12.75">
      <c r="A235" s="375"/>
      <c r="B235" s="375"/>
      <c r="C235" s="347"/>
      <c r="F235" s="376"/>
      <c r="I235" s="347"/>
      <c r="J235" s="347"/>
      <c r="K235" s="347"/>
      <c r="L235" s="347"/>
      <c r="M235" s="347"/>
      <c r="N235" s="347"/>
      <c r="O235" s="347"/>
    </row>
    <row r="236" spans="1:15" s="348" customFormat="1" ht="12.75">
      <c r="A236" s="375"/>
      <c r="B236" s="375"/>
      <c r="C236" s="347"/>
      <c r="F236" s="376"/>
      <c r="I236" s="347"/>
      <c r="J236" s="347"/>
      <c r="K236" s="347"/>
      <c r="L236" s="347"/>
      <c r="M236" s="347"/>
      <c r="N236" s="347"/>
      <c r="O236" s="347"/>
    </row>
    <row r="237" spans="1:15" s="348" customFormat="1" ht="12.75">
      <c r="A237" s="375"/>
      <c r="B237" s="375"/>
      <c r="C237" s="347"/>
      <c r="F237" s="376"/>
      <c r="I237" s="347"/>
      <c r="J237" s="347"/>
      <c r="K237" s="347"/>
      <c r="L237" s="347"/>
      <c r="M237" s="347"/>
      <c r="N237" s="347"/>
      <c r="O237" s="347"/>
    </row>
    <row r="238" spans="1:15" s="348" customFormat="1" ht="12.75">
      <c r="A238" s="375"/>
      <c r="B238" s="375"/>
      <c r="C238" s="347"/>
      <c r="F238" s="376"/>
      <c r="I238" s="347"/>
      <c r="J238" s="347"/>
      <c r="K238" s="347"/>
      <c r="L238" s="347"/>
      <c r="M238" s="347"/>
      <c r="N238" s="347"/>
      <c r="O238" s="347"/>
    </row>
    <row r="239" spans="1:15" s="348" customFormat="1" ht="12.75">
      <c r="A239" s="375"/>
      <c r="B239" s="375"/>
      <c r="C239" s="347"/>
      <c r="F239" s="376"/>
      <c r="I239" s="347"/>
      <c r="J239" s="347"/>
      <c r="K239" s="347"/>
      <c r="L239" s="347"/>
      <c r="M239" s="347"/>
      <c r="N239" s="347"/>
      <c r="O239" s="347"/>
    </row>
    <row r="240" spans="1:15" s="348" customFormat="1" ht="12.75">
      <c r="A240" s="375"/>
      <c r="B240" s="375"/>
      <c r="C240" s="347"/>
      <c r="F240" s="376"/>
      <c r="I240" s="347"/>
      <c r="J240" s="347"/>
      <c r="K240" s="347"/>
      <c r="L240" s="347"/>
      <c r="M240" s="347"/>
      <c r="N240" s="347"/>
      <c r="O240" s="347"/>
    </row>
    <row r="241" spans="1:15" s="348" customFormat="1" ht="12.75">
      <c r="A241" s="375"/>
      <c r="B241" s="375"/>
      <c r="C241" s="347"/>
      <c r="F241" s="376"/>
      <c r="I241" s="347"/>
      <c r="J241" s="347"/>
      <c r="K241" s="347"/>
      <c r="L241" s="347"/>
      <c r="M241" s="347"/>
      <c r="N241" s="347"/>
      <c r="O241" s="347"/>
    </row>
    <row r="242" spans="1:15" s="348" customFormat="1" ht="12.75">
      <c r="A242" s="375"/>
      <c r="B242" s="375"/>
      <c r="C242" s="347"/>
      <c r="F242" s="376"/>
      <c r="I242" s="347"/>
      <c r="J242" s="347"/>
      <c r="K242" s="347"/>
      <c r="L242" s="347"/>
      <c r="M242" s="347"/>
      <c r="N242" s="347"/>
      <c r="O242" s="347"/>
    </row>
    <row r="243" spans="1:15" s="348" customFormat="1" ht="12.75">
      <c r="A243" s="375"/>
      <c r="B243" s="375"/>
      <c r="C243" s="347"/>
      <c r="F243" s="376"/>
      <c r="I243" s="347"/>
      <c r="J243" s="347"/>
      <c r="K243" s="347"/>
      <c r="L243" s="347"/>
      <c r="M243" s="347"/>
      <c r="N243" s="347"/>
      <c r="O243" s="347"/>
    </row>
    <row r="244" spans="1:15" s="348" customFormat="1" ht="12.75">
      <c r="A244" s="375"/>
      <c r="B244" s="375"/>
      <c r="C244" s="347"/>
      <c r="F244" s="376"/>
      <c r="I244" s="347"/>
      <c r="J244" s="347"/>
      <c r="K244" s="347"/>
      <c r="L244" s="347"/>
      <c r="M244" s="347"/>
      <c r="N244" s="347"/>
      <c r="O244" s="347"/>
    </row>
    <row r="245" spans="1:15" s="348" customFormat="1" ht="12.75">
      <c r="A245" s="375"/>
      <c r="B245" s="375"/>
      <c r="C245" s="347"/>
      <c r="F245" s="376"/>
      <c r="I245" s="347"/>
      <c r="J245" s="347"/>
      <c r="K245" s="347"/>
      <c r="L245" s="347"/>
      <c r="M245" s="347"/>
      <c r="N245" s="347"/>
      <c r="O245" s="347"/>
    </row>
    <row r="246" spans="1:15" s="348" customFormat="1" ht="12.75">
      <c r="A246" s="375"/>
      <c r="B246" s="375"/>
      <c r="C246" s="347"/>
      <c r="F246" s="376"/>
      <c r="I246" s="347"/>
      <c r="J246" s="347"/>
      <c r="K246" s="347"/>
      <c r="L246" s="347"/>
      <c r="M246" s="347"/>
      <c r="N246" s="347"/>
      <c r="O246" s="347"/>
    </row>
    <row r="247" spans="1:15" s="348" customFormat="1" ht="12.75">
      <c r="A247" s="375"/>
      <c r="B247" s="375"/>
      <c r="C247" s="347"/>
      <c r="F247" s="376"/>
      <c r="I247" s="347"/>
      <c r="J247" s="347"/>
      <c r="K247" s="347"/>
      <c r="L247" s="347"/>
      <c r="M247" s="347"/>
      <c r="N247" s="347"/>
      <c r="O247" s="347"/>
    </row>
    <row r="248" spans="1:15" s="348" customFormat="1" ht="12.75">
      <c r="A248" s="375"/>
      <c r="B248" s="375"/>
      <c r="C248" s="347"/>
      <c r="F248" s="376"/>
      <c r="I248" s="347"/>
      <c r="J248" s="347"/>
      <c r="K248" s="347"/>
      <c r="L248" s="347"/>
      <c r="M248" s="347"/>
      <c r="N248" s="347"/>
      <c r="O248" s="347"/>
    </row>
    <row r="249" spans="1:15" s="348" customFormat="1" ht="12.75">
      <c r="A249" s="375"/>
      <c r="B249" s="375"/>
      <c r="C249" s="347"/>
      <c r="F249" s="376"/>
      <c r="I249" s="347"/>
      <c r="J249" s="347"/>
      <c r="K249" s="347"/>
      <c r="L249" s="347"/>
      <c r="M249" s="347"/>
      <c r="N249" s="347"/>
      <c r="O249" s="347"/>
    </row>
    <row r="250" spans="1:15" s="348" customFormat="1" ht="12.75">
      <c r="A250" s="375"/>
      <c r="B250" s="375"/>
      <c r="C250" s="347"/>
      <c r="F250" s="376"/>
      <c r="I250" s="347"/>
      <c r="J250" s="347"/>
      <c r="K250" s="347"/>
      <c r="L250" s="347"/>
      <c r="M250" s="347"/>
      <c r="N250" s="347"/>
      <c r="O250" s="347"/>
    </row>
    <row r="251" spans="1:15" s="348" customFormat="1" ht="12.75">
      <c r="A251" s="375"/>
      <c r="B251" s="375"/>
      <c r="C251" s="347"/>
      <c r="F251" s="376"/>
      <c r="I251" s="347"/>
      <c r="J251" s="347"/>
      <c r="K251" s="347"/>
      <c r="L251" s="347"/>
      <c r="M251" s="347"/>
      <c r="N251" s="347"/>
      <c r="O251" s="347"/>
    </row>
    <row r="252" spans="1:15" s="348" customFormat="1" ht="12.75">
      <c r="A252" s="375"/>
      <c r="B252" s="375"/>
      <c r="C252" s="347"/>
      <c r="F252" s="376"/>
      <c r="I252" s="347"/>
      <c r="J252" s="347"/>
      <c r="K252" s="347"/>
      <c r="L252" s="347"/>
      <c r="M252" s="347"/>
      <c r="N252" s="347"/>
      <c r="O252" s="347"/>
    </row>
    <row r="253" spans="1:15" s="348" customFormat="1" ht="12.75">
      <c r="A253" s="375"/>
      <c r="B253" s="375"/>
      <c r="C253" s="347"/>
      <c r="F253" s="376"/>
      <c r="I253" s="347"/>
      <c r="J253" s="347"/>
      <c r="K253" s="347"/>
      <c r="L253" s="347"/>
      <c r="M253" s="347"/>
      <c r="N253" s="347"/>
      <c r="O253" s="347"/>
    </row>
    <row r="254" spans="1:15" s="348" customFormat="1" ht="12.75">
      <c r="A254" s="375"/>
      <c r="B254" s="375"/>
      <c r="C254" s="347"/>
      <c r="F254" s="376"/>
      <c r="I254" s="347"/>
      <c r="J254" s="347"/>
      <c r="K254" s="347"/>
      <c r="L254" s="347"/>
      <c r="M254" s="347"/>
      <c r="N254" s="347"/>
      <c r="O254" s="347"/>
    </row>
    <row r="255" spans="1:15" s="348" customFormat="1" ht="12.75">
      <c r="A255" s="375"/>
      <c r="B255" s="375"/>
      <c r="C255" s="347"/>
      <c r="F255" s="376"/>
      <c r="I255" s="347"/>
      <c r="J255" s="347"/>
      <c r="K255" s="347"/>
      <c r="L255" s="347"/>
      <c r="M255" s="347"/>
      <c r="N255" s="347"/>
      <c r="O255" s="347"/>
    </row>
    <row r="256" spans="1:15" s="348" customFormat="1" ht="12.75">
      <c r="A256" s="375"/>
      <c r="B256" s="375"/>
      <c r="C256" s="347"/>
      <c r="F256" s="376"/>
      <c r="I256" s="347"/>
      <c r="J256" s="347"/>
      <c r="K256" s="347"/>
      <c r="L256" s="347"/>
      <c r="M256" s="347"/>
      <c r="N256" s="347"/>
      <c r="O256" s="347"/>
    </row>
    <row r="257" spans="1:15" s="348" customFormat="1" ht="12.75">
      <c r="A257" s="375"/>
      <c r="B257" s="375"/>
      <c r="C257" s="347"/>
      <c r="F257" s="376"/>
      <c r="I257" s="347"/>
      <c r="J257" s="347"/>
      <c r="K257" s="347"/>
      <c r="L257" s="347"/>
      <c r="M257" s="347"/>
      <c r="N257" s="347"/>
      <c r="O257" s="347"/>
    </row>
    <row r="258" spans="1:15" s="348" customFormat="1" ht="12.75">
      <c r="A258" s="375"/>
      <c r="B258" s="375"/>
      <c r="C258" s="347"/>
      <c r="F258" s="376"/>
      <c r="I258" s="347"/>
      <c r="J258" s="347"/>
      <c r="K258" s="347"/>
      <c r="L258" s="347"/>
      <c r="M258" s="347"/>
      <c r="N258" s="347"/>
      <c r="O258" s="347"/>
    </row>
    <row r="259" spans="1:15" s="348" customFormat="1" ht="12.75">
      <c r="A259" s="375"/>
      <c r="B259" s="375"/>
      <c r="C259" s="347"/>
      <c r="F259" s="376"/>
      <c r="I259" s="347"/>
      <c r="J259" s="347"/>
      <c r="K259" s="347"/>
      <c r="L259" s="347"/>
      <c r="M259" s="347"/>
      <c r="N259" s="347"/>
      <c r="O259" s="347"/>
    </row>
    <row r="260" spans="1:15" s="348" customFormat="1" ht="12.75">
      <c r="A260" s="375"/>
      <c r="B260" s="375"/>
      <c r="C260" s="347"/>
      <c r="F260" s="376"/>
      <c r="I260" s="347"/>
      <c r="J260" s="347"/>
      <c r="K260" s="347"/>
      <c r="L260" s="347"/>
      <c r="M260" s="347"/>
      <c r="N260" s="347"/>
      <c r="O260" s="347"/>
    </row>
    <row r="261" spans="1:15" s="348" customFormat="1" ht="12.75">
      <c r="A261" s="375"/>
      <c r="B261" s="375"/>
      <c r="C261" s="347"/>
      <c r="F261" s="376"/>
      <c r="I261" s="347"/>
      <c r="J261" s="347"/>
      <c r="K261" s="347"/>
      <c r="L261" s="347"/>
      <c r="M261" s="347"/>
      <c r="N261" s="347"/>
      <c r="O261" s="347"/>
    </row>
    <row r="262" spans="1:15" s="348" customFormat="1" ht="12.75">
      <c r="A262" s="375"/>
      <c r="B262" s="375"/>
      <c r="C262" s="347"/>
      <c r="F262" s="376"/>
      <c r="I262" s="347"/>
      <c r="J262" s="347"/>
      <c r="K262" s="347"/>
      <c r="L262" s="347"/>
      <c r="M262" s="347"/>
      <c r="N262" s="347"/>
      <c r="O262" s="347"/>
    </row>
    <row r="263" spans="1:15" s="348" customFormat="1" ht="12.75">
      <c r="A263" s="375"/>
      <c r="B263" s="375"/>
      <c r="C263" s="347"/>
      <c r="F263" s="376"/>
      <c r="I263" s="347"/>
      <c r="J263" s="347"/>
      <c r="K263" s="347"/>
      <c r="L263" s="347"/>
      <c r="M263" s="347"/>
      <c r="N263" s="347"/>
      <c r="O263" s="347"/>
    </row>
    <row r="264" spans="1:15" s="348" customFormat="1" ht="12.75">
      <c r="A264" s="375"/>
      <c r="B264" s="375"/>
      <c r="C264" s="347"/>
      <c r="F264" s="376"/>
      <c r="I264" s="347"/>
      <c r="J264" s="347"/>
      <c r="K264" s="347"/>
      <c r="L264" s="347"/>
      <c r="M264" s="347"/>
      <c r="N264" s="347"/>
      <c r="O264" s="347"/>
    </row>
    <row r="265" spans="1:15" s="348" customFormat="1" ht="12.75">
      <c r="A265" s="375"/>
      <c r="B265" s="375"/>
      <c r="C265" s="347"/>
      <c r="F265" s="376"/>
      <c r="I265" s="347"/>
      <c r="J265" s="347"/>
      <c r="K265" s="347"/>
      <c r="L265" s="347"/>
      <c r="M265" s="347"/>
      <c r="N265" s="347"/>
      <c r="O265" s="347"/>
    </row>
    <row r="266" spans="1:15" s="348" customFormat="1" ht="12.75">
      <c r="A266" s="375"/>
      <c r="B266" s="375"/>
      <c r="C266" s="347"/>
      <c r="F266" s="376"/>
      <c r="I266" s="347"/>
      <c r="J266" s="347"/>
      <c r="K266" s="347"/>
      <c r="L266" s="347"/>
      <c r="M266" s="347"/>
      <c r="N266" s="347"/>
      <c r="O266" s="347"/>
    </row>
    <row r="267" spans="1:15" s="348" customFormat="1" ht="12.75">
      <c r="A267" s="375"/>
      <c r="B267" s="375"/>
      <c r="C267" s="347"/>
      <c r="F267" s="376"/>
      <c r="I267" s="347"/>
      <c r="J267" s="347"/>
      <c r="K267" s="347"/>
      <c r="L267" s="347"/>
      <c r="M267" s="347"/>
      <c r="N267" s="347"/>
      <c r="O267" s="347"/>
    </row>
    <row r="268" spans="1:15" s="348" customFormat="1" ht="12.75">
      <c r="A268" s="375"/>
      <c r="B268" s="375"/>
      <c r="C268" s="347"/>
      <c r="F268" s="376"/>
      <c r="I268" s="347"/>
      <c r="J268" s="347"/>
      <c r="K268" s="347"/>
      <c r="L268" s="347"/>
      <c r="M268" s="347"/>
      <c r="N268" s="347"/>
      <c r="O268" s="347"/>
    </row>
    <row r="269" spans="1:15" s="348" customFormat="1" ht="12.75">
      <c r="A269" s="375"/>
      <c r="B269" s="375"/>
      <c r="C269" s="347"/>
      <c r="F269" s="376"/>
      <c r="I269" s="347"/>
      <c r="J269" s="347"/>
      <c r="K269" s="347"/>
      <c r="L269" s="347"/>
      <c r="M269" s="347"/>
      <c r="N269" s="347"/>
      <c r="O269" s="347"/>
    </row>
    <row r="270" spans="1:15" s="348" customFormat="1" ht="12.75">
      <c r="A270" s="375"/>
      <c r="B270" s="375"/>
      <c r="C270" s="347"/>
      <c r="F270" s="376"/>
      <c r="I270" s="347"/>
      <c r="J270" s="347"/>
      <c r="K270" s="347"/>
      <c r="L270" s="347"/>
      <c r="M270" s="347"/>
      <c r="N270" s="347"/>
      <c r="O270" s="347"/>
    </row>
    <row r="271" spans="1:15" s="348" customFormat="1" ht="12.75">
      <c r="A271" s="375"/>
      <c r="B271" s="375"/>
      <c r="C271" s="347"/>
      <c r="F271" s="376"/>
      <c r="I271" s="347"/>
      <c r="J271" s="347"/>
      <c r="K271" s="347"/>
      <c r="L271" s="347"/>
      <c r="M271" s="347"/>
      <c r="N271" s="347"/>
      <c r="O271" s="347"/>
    </row>
    <row r="272" spans="1:15" s="348" customFormat="1" ht="12.75">
      <c r="A272" s="375"/>
      <c r="B272" s="375"/>
      <c r="C272" s="347"/>
      <c r="F272" s="376"/>
      <c r="I272" s="347"/>
      <c r="J272" s="347"/>
      <c r="K272" s="347"/>
      <c r="L272" s="347"/>
      <c r="M272" s="347"/>
      <c r="N272" s="347"/>
      <c r="O272" s="347"/>
    </row>
    <row r="273" spans="1:15" s="348" customFormat="1" ht="12.75">
      <c r="A273" s="375"/>
      <c r="B273" s="375"/>
      <c r="C273" s="347"/>
      <c r="F273" s="376"/>
      <c r="I273" s="347"/>
      <c r="J273" s="347"/>
      <c r="K273" s="347"/>
      <c r="L273" s="347"/>
      <c r="M273" s="347"/>
      <c r="N273" s="347"/>
      <c r="O273" s="347"/>
    </row>
    <row r="274" spans="1:15" s="348" customFormat="1" ht="12.75">
      <c r="A274" s="375"/>
      <c r="B274" s="375"/>
      <c r="C274" s="347"/>
      <c r="F274" s="376"/>
      <c r="I274" s="347"/>
      <c r="J274" s="347"/>
      <c r="K274" s="347"/>
      <c r="L274" s="347"/>
      <c r="M274" s="347"/>
      <c r="N274" s="347"/>
      <c r="O274" s="347"/>
    </row>
    <row r="275" spans="1:15" s="348" customFormat="1" ht="12.75">
      <c r="A275" s="375"/>
      <c r="B275" s="375"/>
      <c r="C275" s="347"/>
      <c r="F275" s="376"/>
      <c r="I275" s="347"/>
      <c r="J275" s="347"/>
      <c r="K275" s="347"/>
      <c r="L275" s="347"/>
      <c r="M275" s="347"/>
      <c r="N275" s="347"/>
      <c r="O275" s="347"/>
    </row>
    <row r="276" spans="1:15" s="348" customFormat="1" ht="12.75">
      <c r="A276" s="375"/>
      <c r="B276" s="375"/>
      <c r="C276" s="347"/>
      <c r="F276" s="376"/>
      <c r="I276" s="347"/>
      <c r="J276" s="347"/>
      <c r="K276" s="347"/>
      <c r="L276" s="347"/>
      <c r="M276" s="347"/>
      <c r="N276" s="347"/>
      <c r="O276" s="347"/>
    </row>
    <row r="277" spans="1:15" s="348" customFormat="1" ht="12.75">
      <c r="A277" s="375"/>
      <c r="B277" s="375"/>
      <c r="C277" s="347"/>
      <c r="F277" s="376"/>
      <c r="I277" s="347"/>
      <c r="J277" s="347"/>
      <c r="K277" s="347"/>
      <c r="L277" s="347"/>
      <c r="M277" s="347"/>
      <c r="N277" s="347"/>
      <c r="O277" s="347"/>
    </row>
    <row r="278" spans="1:15" s="348" customFormat="1" ht="12.75">
      <c r="A278" s="375"/>
      <c r="B278" s="375"/>
      <c r="C278" s="347"/>
      <c r="F278" s="376"/>
      <c r="I278" s="347"/>
      <c r="J278" s="347"/>
      <c r="K278" s="347"/>
      <c r="L278" s="347"/>
      <c r="M278" s="347"/>
      <c r="N278" s="347"/>
      <c r="O278" s="347"/>
    </row>
    <row r="279" spans="1:15" s="348" customFormat="1" ht="12.75">
      <c r="A279" s="375"/>
      <c r="B279" s="375"/>
      <c r="C279" s="347"/>
      <c r="F279" s="376"/>
      <c r="I279" s="347"/>
      <c r="J279" s="347"/>
      <c r="K279" s="347"/>
      <c r="L279" s="347"/>
      <c r="M279" s="347"/>
      <c r="N279" s="347"/>
      <c r="O279" s="347"/>
    </row>
    <row r="280" spans="1:15" s="348" customFormat="1" ht="12.75">
      <c r="A280" s="375"/>
      <c r="B280" s="375"/>
      <c r="C280" s="347"/>
      <c r="F280" s="376"/>
      <c r="I280" s="347"/>
      <c r="J280" s="347"/>
      <c r="K280" s="347"/>
      <c r="L280" s="347"/>
      <c r="M280" s="347"/>
      <c r="N280" s="347"/>
      <c r="O280" s="347"/>
    </row>
    <row r="281" spans="1:15" s="348" customFormat="1" ht="12.75">
      <c r="A281" s="375"/>
      <c r="B281" s="375"/>
      <c r="C281" s="347"/>
      <c r="F281" s="376"/>
      <c r="I281" s="347"/>
      <c r="J281" s="347"/>
      <c r="K281" s="347"/>
      <c r="L281" s="347"/>
      <c r="M281" s="347"/>
      <c r="N281" s="347"/>
      <c r="O281" s="347"/>
    </row>
    <row r="282" spans="1:15" s="348" customFormat="1" ht="12.75">
      <c r="A282" s="375"/>
      <c r="B282" s="375"/>
      <c r="C282" s="347"/>
      <c r="F282" s="376"/>
      <c r="I282" s="347"/>
      <c r="J282" s="347"/>
      <c r="K282" s="347"/>
      <c r="L282" s="347"/>
      <c r="M282" s="347"/>
      <c r="N282" s="347"/>
      <c r="O282" s="347"/>
    </row>
    <row r="283" spans="1:15" s="348" customFormat="1" ht="12.75">
      <c r="A283" s="375"/>
      <c r="B283" s="375"/>
      <c r="C283" s="347"/>
      <c r="F283" s="376"/>
      <c r="I283" s="347"/>
      <c r="J283" s="347"/>
      <c r="K283" s="347"/>
      <c r="L283" s="347"/>
      <c r="M283" s="347"/>
      <c r="N283" s="347"/>
      <c r="O283" s="347"/>
    </row>
    <row r="284" spans="1:15" s="348" customFormat="1" ht="12.75">
      <c r="A284" s="375"/>
      <c r="B284" s="375"/>
      <c r="C284" s="347"/>
      <c r="F284" s="376"/>
      <c r="I284" s="347"/>
      <c r="J284" s="347"/>
      <c r="K284" s="347"/>
      <c r="L284" s="347"/>
      <c r="M284" s="347"/>
      <c r="N284" s="347"/>
      <c r="O284" s="347"/>
    </row>
    <row r="285" spans="1:15" s="348" customFormat="1" ht="12.75">
      <c r="A285" s="375"/>
      <c r="B285" s="375"/>
      <c r="C285" s="347"/>
      <c r="F285" s="376"/>
      <c r="I285" s="347"/>
      <c r="J285" s="347"/>
      <c r="K285" s="347"/>
      <c r="L285" s="347"/>
      <c r="M285" s="347"/>
      <c r="N285" s="347"/>
      <c r="O285" s="347"/>
    </row>
    <row r="286" spans="1:15" s="348" customFormat="1" ht="12.75">
      <c r="A286" s="375"/>
      <c r="B286" s="375"/>
      <c r="C286" s="347"/>
      <c r="F286" s="376"/>
      <c r="I286" s="347"/>
      <c r="J286" s="347"/>
      <c r="K286" s="347"/>
      <c r="L286" s="347"/>
      <c r="M286" s="347"/>
      <c r="N286" s="347"/>
      <c r="O286" s="347"/>
    </row>
    <row r="287" spans="1:15" s="348" customFormat="1" ht="12.75">
      <c r="A287" s="375"/>
      <c r="B287" s="375"/>
      <c r="C287" s="347"/>
      <c r="F287" s="376"/>
      <c r="I287" s="347"/>
      <c r="J287" s="347"/>
      <c r="K287" s="347"/>
      <c r="L287" s="347"/>
      <c r="M287" s="347"/>
      <c r="N287" s="347"/>
      <c r="O287" s="347"/>
    </row>
  </sheetData>
  <sheetProtection sheet="1" objects="1" scenarios="1" selectLockedCells="1"/>
  <mergeCells count="146">
    <mergeCell ref="A9:C9"/>
    <mergeCell ref="A11:A12"/>
    <mergeCell ref="A3:H3"/>
    <mergeCell ref="C5:G5"/>
    <mergeCell ref="C6:G6"/>
    <mergeCell ref="E7:F7"/>
    <mergeCell ref="C4:G4"/>
    <mergeCell ref="B11:D12"/>
    <mergeCell ref="E11:E12"/>
    <mergeCell ref="F11:F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99" r:id="rId3"/>
  <rowBreaks count="1" manualBreakCount="1">
    <brk id="66"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Лист10"/>
  <dimension ref="A1:F57"/>
  <sheetViews>
    <sheetView showGridLine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482" customWidth="1"/>
    <col min="2" max="2" width="5.00390625" style="482" customWidth="1"/>
    <col min="3" max="3" width="21.00390625" style="482" customWidth="1"/>
    <col min="4" max="4" width="12.25390625" style="482" customWidth="1"/>
    <col min="5" max="5" width="12.00390625" style="482" customWidth="1"/>
    <col min="6" max="6" width="28.375" style="482" customWidth="1"/>
    <col min="7" max="16384" width="9.125" style="482" customWidth="1"/>
  </cols>
  <sheetData>
    <row r="1" spans="1:6" ht="30" customHeight="1">
      <c r="A1" s="935" t="s">
        <v>159</v>
      </c>
      <c r="B1" s="935"/>
      <c r="C1" s="935"/>
      <c r="D1" s="935"/>
      <c r="E1" s="935"/>
      <c r="F1" s="935"/>
    </row>
    <row r="2" spans="1:6" ht="12.75" customHeight="1" hidden="1">
      <c r="A2" s="936"/>
      <c r="B2" s="936"/>
      <c r="C2" s="936"/>
      <c r="D2" s="936"/>
      <c r="E2" s="936"/>
      <c r="F2" s="936"/>
    </row>
    <row r="3" spans="1:6" ht="12.75" customHeight="1">
      <c r="A3" s="937" t="str">
        <f>IF(Установка!C3="","",UPPER(Установка!C3))</f>
        <v>ПЕРВЕНСТВО ЧЕЛЯБИНСКОЙ ОБЛАСТИ</v>
      </c>
      <c r="B3" s="937"/>
      <c r="C3" s="937"/>
      <c r="D3" s="937"/>
      <c r="E3" s="937"/>
      <c r="F3" s="937"/>
    </row>
    <row r="4" spans="1:6" ht="12.75">
      <c r="A4" s="938" t="s">
        <v>81</v>
      </c>
      <c r="B4" s="938"/>
      <c r="C4" s="938"/>
      <c r="D4" s="938"/>
      <c r="E4" s="938"/>
      <c r="F4" s="938"/>
    </row>
    <row r="5" spans="1:6" s="485" customFormat="1" ht="45">
      <c r="A5" s="251" t="s">
        <v>160</v>
      </c>
      <c r="B5" s="481" t="s">
        <v>161</v>
      </c>
      <c r="C5" s="480" t="s">
        <v>34</v>
      </c>
      <c r="D5" s="484" t="s">
        <v>21</v>
      </c>
      <c r="E5" s="480" t="s">
        <v>162</v>
      </c>
      <c r="F5" s="480" t="s">
        <v>163</v>
      </c>
    </row>
    <row r="6" spans="1:6" ht="12.75" customHeight="1">
      <c r="A6" s="486">
        <f aca="true" t="shared" si="0" ref="A6:A37">ROW()-5</f>
        <v>1</v>
      </c>
      <c r="B6" s="487"/>
      <c r="C6" s="488"/>
      <c r="D6" s="489"/>
      <c r="E6" s="490"/>
      <c r="F6" s="491"/>
    </row>
    <row r="7" spans="1:6" ht="12.75" customHeight="1">
      <c r="A7" s="486">
        <f t="shared" si="0"/>
        <v>2</v>
      </c>
      <c r="B7" s="487"/>
      <c r="C7" s="488"/>
      <c r="D7" s="489"/>
      <c r="E7" s="490"/>
      <c r="F7" s="492"/>
    </row>
    <row r="8" spans="1:6" ht="12.75" customHeight="1">
      <c r="A8" s="486">
        <f t="shared" si="0"/>
        <v>3</v>
      </c>
      <c r="B8" s="487"/>
      <c r="C8" s="488"/>
      <c r="D8" s="489"/>
      <c r="E8" s="490"/>
      <c r="F8" s="492"/>
    </row>
    <row r="9" spans="1:6" ht="12.75" customHeight="1">
      <c r="A9" s="486">
        <f t="shared" si="0"/>
        <v>4</v>
      </c>
      <c r="B9" s="487"/>
      <c r="C9" s="488"/>
      <c r="D9" s="489"/>
      <c r="E9" s="490"/>
      <c r="F9" s="492"/>
    </row>
    <row r="10" spans="1:6" ht="12.75" customHeight="1">
      <c r="A10" s="486">
        <f t="shared" si="0"/>
        <v>5</v>
      </c>
      <c r="B10" s="487"/>
      <c r="C10" s="488"/>
      <c r="D10" s="489"/>
      <c r="E10" s="490"/>
      <c r="F10" s="492"/>
    </row>
    <row r="11" spans="1:6" ht="12.75" customHeight="1">
      <c r="A11" s="486">
        <f t="shared" si="0"/>
        <v>6</v>
      </c>
      <c r="B11" s="487"/>
      <c r="C11" s="488"/>
      <c r="D11" s="489"/>
      <c r="E11" s="490"/>
      <c r="F11" s="492"/>
    </row>
    <row r="12" spans="1:6" ht="12.75" customHeight="1">
      <c r="A12" s="486">
        <f t="shared" si="0"/>
        <v>7</v>
      </c>
      <c r="B12" s="487"/>
      <c r="C12" s="488"/>
      <c r="D12" s="489"/>
      <c r="E12" s="490"/>
      <c r="F12" s="492"/>
    </row>
    <row r="13" spans="1:6" ht="12.75" customHeight="1">
      <c r="A13" s="486">
        <f t="shared" si="0"/>
        <v>8</v>
      </c>
      <c r="B13" s="487"/>
      <c r="C13" s="488"/>
      <c r="D13" s="489"/>
      <c r="E13" s="490"/>
      <c r="F13" s="492"/>
    </row>
    <row r="14" spans="1:6" s="494" customFormat="1" ht="12.75" customHeight="1">
      <c r="A14" s="486">
        <f t="shared" si="0"/>
        <v>9</v>
      </c>
      <c r="B14" s="487"/>
      <c r="C14" s="488"/>
      <c r="D14" s="489"/>
      <c r="E14" s="490"/>
      <c r="F14" s="492"/>
    </row>
    <row r="15" spans="1:6" s="494" customFormat="1" ht="12.75" customHeight="1">
      <c r="A15" s="486">
        <f t="shared" si="0"/>
        <v>10</v>
      </c>
      <c r="B15" s="487"/>
      <c r="C15" s="488"/>
      <c r="D15" s="489"/>
      <c r="E15" s="490"/>
      <c r="F15" s="492"/>
    </row>
    <row r="16" spans="1:6" ht="12.75" customHeight="1">
      <c r="A16" s="486">
        <f t="shared" si="0"/>
        <v>11</v>
      </c>
      <c r="B16" s="487"/>
      <c r="C16" s="488"/>
      <c r="D16" s="489"/>
      <c r="E16" s="490"/>
      <c r="F16" s="492"/>
    </row>
    <row r="17" spans="1:6" ht="12.75" customHeight="1">
      <c r="A17" s="486">
        <f t="shared" si="0"/>
        <v>12</v>
      </c>
      <c r="B17" s="487"/>
      <c r="C17" s="488"/>
      <c r="D17" s="489"/>
      <c r="E17" s="490"/>
      <c r="F17" s="492"/>
    </row>
    <row r="18" spans="1:6" ht="12.75" customHeight="1">
      <c r="A18" s="486">
        <f t="shared" si="0"/>
        <v>13</v>
      </c>
      <c r="B18" s="487"/>
      <c r="C18" s="488"/>
      <c r="D18" s="489"/>
      <c r="E18" s="490"/>
      <c r="F18" s="492"/>
    </row>
    <row r="19" spans="1:6" ht="12.75" customHeight="1">
      <c r="A19" s="486">
        <f t="shared" si="0"/>
        <v>14</v>
      </c>
      <c r="B19" s="487"/>
      <c r="C19" s="488"/>
      <c r="D19" s="489"/>
      <c r="E19" s="490"/>
      <c r="F19" s="492"/>
    </row>
    <row r="20" spans="1:6" ht="12.75" customHeight="1">
      <c r="A20" s="486">
        <f t="shared" si="0"/>
        <v>15</v>
      </c>
      <c r="B20" s="487"/>
      <c r="C20" s="488"/>
      <c r="D20" s="489"/>
      <c r="E20" s="490"/>
      <c r="F20" s="492"/>
    </row>
    <row r="21" spans="1:6" ht="12.75" customHeight="1">
      <c r="A21" s="486">
        <f t="shared" si="0"/>
        <v>16</v>
      </c>
      <c r="B21" s="487"/>
      <c r="C21" s="488"/>
      <c r="D21" s="489"/>
      <c r="E21" s="490"/>
      <c r="F21" s="492"/>
    </row>
    <row r="22" spans="1:6" ht="12.75" customHeight="1">
      <c r="A22" s="486">
        <f t="shared" si="0"/>
        <v>17</v>
      </c>
      <c r="B22" s="487"/>
      <c r="C22" s="488"/>
      <c r="D22" s="489"/>
      <c r="E22" s="493"/>
      <c r="F22" s="492"/>
    </row>
    <row r="23" spans="1:6" ht="12.75" customHeight="1">
      <c r="A23" s="486">
        <f t="shared" si="0"/>
        <v>18</v>
      </c>
      <c r="B23" s="487"/>
      <c r="C23" s="488"/>
      <c r="D23" s="489"/>
      <c r="E23" s="493"/>
      <c r="F23" s="492"/>
    </row>
    <row r="24" spans="1:6" s="494" customFormat="1" ht="12.75" customHeight="1">
      <c r="A24" s="486">
        <f t="shared" si="0"/>
        <v>19</v>
      </c>
      <c r="B24" s="487"/>
      <c r="C24" s="488"/>
      <c r="D24" s="489"/>
      <c r="E24" s="493"/>
      <c r="F24" s="492"/>
    </row>
    <row r="25" spans="1:6" s="494" customFormat="1" ht="12.75" customHeight="1">
      <c r="A25" s="486">
        <f t="shared" si="0"/>
        <v>20</v>
      </c>
      <c r="B25" s="487"/>
      <c r="C25" s="488"/>
      <c r="D25" s="489"/>
      <c r="E25" s="493"/>
      <c r="F25" s="492"/>
    </row>
    <row r="26" spans="1:6" ht="12.75" customHeight="1">
      <c r="A26" s="486">
        <f t="shared" si="0"/>
        <v>21</v>
      </c>
      <c r="B26" s="487"/>
      <c r="C26" s="488"/>
      <c r="D26" s="489"/>
      <c r="E26" s="490"/>
      <c r="F26" s="492"/>
    </row>
    <row r="27" spans="1:6" ht="12.75" customHeight="1">
      <c r="A27" s="486">
        <f t="shared" si="0"/>
        <v>22</v>
      </c>
      <c r="B27" s="487"/>
      <c r="C27" s="488"/>
      <c r="D27" s="489"/>
      <c r="E27" s="490"/>
      <c r="F27" s="492"/>
    </row>
    <row r="28" spans="1:6" ht="12.75" customHeight="1">
      <c r="A28" s="486">
        <f t="shared" si="0"/>
        <v>23</v>
      </c>
      <c r="B28" s="487"/>
      <c r="C28" s="488"/>
      <c r="D28" s="489"/>
      <c r="E28" s="490"/>
      <c r="F28" s="492"/>
    </row>
    <row r="29" spans="1:6" ht="12.75" customHeight="1">
      <c r="A29" s="486">
        <f t="shared" si="0"/>
        <v>24</v>
      </c>
      <c r="B29" s="487"/>
      <c r="C29" s="488"/>
      <c r="D29" s="489"/>
      <c r="E29" s="490"/>
      <c r="F29" s="492"/>
    </row>
    <row r="30" spans="1:6" ht="12.75" customHeight="1">
      <c r="A30" s="486">
        <f t="shared" si="0"/>
        <v>25</v>
      </c>
      <c r="B30" s="487"/>
      <c r="C30" s="488"/>
      <c r="D30" s="489"/>
      <c r="E30" s="490"/>
      <c r="F30" s="492"/>
    </row>
    <row r="31" spans="1:6" ht="12.75" customHeight="1">
      <c r="A31" s="486">
        <f t="shared" si="0"/>
        <v>26</v>
      </c>
      <c r="B31" s="487"/>
      <c r="C31" s="488"/>
      <c r="D31" s="489"/>
      <c r="E31" s="490"/>
      <c r="F31" s="492"/>
    </row>
    <row r="32" spans="1:6" ht="12.75" customHeight="1">
      <c r="A32" s="486">
        <f t="shared" si="0"/>
        <v>27</v>
      </c>
      <c r="B32" s="487"/>
      <c r="C32" s="488"/>
      <c r="D32" s="489"/>
      <c r="E32" s="493"/>
      <c r="F32" s="492"/>
    </row>
    <row r="33" spans="1:6" ht="12.75" customHeight="1">
      <c r="A33" s="486">
        <f t="shared" si="0"/>
        <v>28</v>
      </c>
      <c r="B33" s="487"/>
      <c r="C33" s="488"/>
      <c r="D33" s="489"/>
      <c r="E33" s="493"/>
      <c r="F33" s="492"/>
    </row>
    <row r="34" spans="1:6" s="494" customFormat="1" ht="12.75" customHeight="1">
      <c r="A34" s="486">
        <f t="shared" si="0"/>
        <v>29</v>
      </c>
      <c r="B34" s="487"/>
      <c r="C34" s="488"/>
      <c r="D34" s="489"/>
      <c r="E34" s="493"/>
      <c r="F34" s="492"/>
    </row>
    <row r="35" spans="1:6" s="494" customFormat="1" ht="12.75" customHeight="1">
      <c r="A35" s="486">
        <f t="shared" si="0"/>
        <v>30</v>
      </c>
      <c r="B35" s="487"/>
      <c r="C35" s="488"/>
      <c r="D35" s="489"/>
      <c r="E35" s="493"/>
      <c r="F35" s="492"/>
    </row>
    <row r="36" spans="1:6" ht="12.75" customHeight="1">
      <c r="A36" s="486">
        <f t="shared" si="0"/>
        <v>31</v>
      </c>
      <c r="B36" s="487"/>
      <c r="C36" s="488"/>
      <c r="D36" s="489"/>
      <c r="E36" s="490"/>
      <c r="F36" s="492"/>
    </row>
    <row r="37" spans="1:6" ht="12.75" customHeight="1">
      <c r="A37" s="486">
        <f t="shared" si="0"/>
        <v>32</v>
      </c>
      <c r="B37" s="487"/>
      <c r="C37" s="488"/>
      <c r="D37" s="489"/>
      <c r="E37" s="490"/>
      <c r="F37" s="492"/>
    </row>
    <row r="38" spans="1:6" ht="12.75" customHeight="1">
      <c r="A38" s="486">
        <f aca="true" t="shared" si="1" ref="A38:A55">ROW()-5</f>
        <v>33</v>
      </c>
      <c r="B38" s="487"/>
      <c r="C38" s="488"/>
      <c r="D38" s="489"/>
      <c r="E38" s="490"/>
      <c r="F38" s="492"/>
    </row>
    <row r="39" spans="1:6" ht="12.75" customHeight="1">
      <c r="A39" s="486">
        <f t="shared" si="1"/>
        <v>34</v>
      </c>
      <c r="B39" s="487"/>
      <c r="C39" s="488"/>
      <c r="D39" s="489"/>
      <c r="E39" s="490"/>
      <c r="F39" s="492"/>
    </row>
    <row r="40" spans="1:6" ht="12.75" customHeight="1">
      <c r="A40" s="486">
        <f t="shared" si="1"/>
        <v>35</v>
      </c>
      <c r="B40" s="487"/>
      <c r="C40" s="488"/>
      <c r="D40" s="489"/>
      <c r="E40" s="490"/>
      <c r="F40" s="492"/>
    </row>
    <row r="41" spans="1:6" ht="12.75" customHeight="1">
      <c r="A41" s="486">
        <f t="shared" si="1"/>
        <v>36</v>
      </c>
      <c r="B41" s="487"/>
      <c r="C41" s="488"/>
      <c r="D41" s="489"/>
      <c r="E41" s="490"/>
      <c r="F41" s="492"/>
    </row>
    <row r="42" spans="1:6" ht="12.75" customHeight="1">
      <c r="A42" s="486">
        <f t="shared" si="1"/>
        <v>37</v>
      </c>
      <c r="B42" s="487"/>
      <c r="C42" s="488"/>
      <c r="D42" s="489"/>
      <c r="E42" s="493"/>
      <c r="F42" s="492"/>
    </row>
    <row r="43" spans="1:6" ht="12.75" customHeight="1">
      <c r="A43" s="486">
        <f t="shared" si="1"/>
        <v>38</v>
      </c>
      <c r="B43" s="487"/>
      <c r="C43" s="488"/>
      <c r="D43" s="489"/>
      <c r="E43" s="493"/>
      <c r="F43" s="492"/>
    </row>
    <row r="44" spans="1:6" s="494" customFormat="1" ht="12.75" customHeight="1">
      <c r="A44" s="486">
        <f t="shared" si="1"/>
        <v>39</v>
      </c>
      <c r="B44" s="487"/>
      <c r="C44" s="488"/>
      <c r="D44" s="489"/>
      <c r="E44" s="493"/>
      <c r="F44" s="492"/>
    </row>
    <row r="45" spans="1:6" s="494" customFormat="1" ht="12.75" customHeight="1">
      <c r="A45" s="486">
        <f t="shared" si="1"/>
        <v>40</v>
      </c>
      <c r="B45" s="487"/>
      <c r="C45" s="488"/>
      <c r="D45" s="489"/>
      <c r="E45" s="493"/>
      <c r="F45" s="492"/>
    </row>
    <row r="46" spans="1:6" ht="12.75" customHeight="1">
      <c r="A46" s="486">
        <f t="shared" si="1"/>
        <v>41</v>
      </c>
      <c r="B46" s="487"/>
      <c r="C46" s="488"/>
      <c r="D46" s="489"/>
      <c r="E46" s="490"/>
      <c r="F46" s="492"/>
    </row>
    <row r="47" spans="1:6" ht="12.75" customHeight="1">
      <c r="A47" s="486">
        <f t="shared" si="1"/>
        <v>42</v>
      </c>
      <c r="B47" s="487"/>
      <c r="C47" s="488"/>
      <c r="D47" s="489"/>
      <c r="E47" s="490"/>
      <c r="F47" s="492"/>
    </row>
    <row r="48" spans="1:6" ht="12.75" customHeight="1">
      <c r="A48" s="486">
        <f t="shared" si="1"/>
        <v>43</v>
      </c>
      <c r="B48" s="487"/>
      <c r="C48" s="488"/>
      <c r="D48" s="489"/>
      <c r="E48" s="490"/>
      <c r="F48" s="492"/>
    </row>
    <row r="49" spans="1:6" ht="12.75" customHeight="1">
      <c r="A49" s="486">
        <f t="shared" si="1"/>
        <v>44</v>
      </c>
      <c r="B49" s="487"/>
      <c r="C49" s="488"/>
      <c r="D49" s="489"/>
      <c r="E49" s="490"/>
      <c r="F49" s="492"/>
    </row>
    <row r="50" spans="1:6" ht="12.75" customHeight="1">
      <c r="A50" s="486">
        <f t="shared" si="1"/>
        <v>45</v>
      </c>
      <c r="B50" s="487"/>
      <c r="C50" s="488"/>
      <c r="D50" s="489"/>
      <c r="E50" s="493"/>
      <c r="F50" s="492"/>
    </row>
    <row r="51" spans="1:6" ht="12.75" customHeight="1">
      <c r="A51" s="486">
        <f t="shared" si="1"/>
        <v>46</v>
      </c>
      <c r="B51" s="487"/>
      <c r="C51" s="488"/>
      <c r="D51" s="489"/>
      <c r="E51" s="493"/>
      <c r="F51" s="492"/>
    </row>
    <row r="52" spans="1:6" ht="12.75" customHeight="1">
      <c r="A52" s="486">
        <f t="shared" si="1"/>
        <v>47</v>
      </c>
      <c r="B52" s="487"/>
      <c r="C52" s="488"/>
      <c r="D52" s="489"/>
      <c r="E52" s="493"/>
      <c r="F52" s="492"/>
    </row>
    <row r="53" spans="1:6" ht="12.75" customHeight="1">
      <c r="A53" s="486">
        <f t="shared" si="1"/>
        <v>48</v>
      </c>
      <c r="B53" s="487"/>
      <c r="C53" s="488"/>
      <c r="D53" s="489"/>
      <c r="E53" s="493"/>
      <c r="F53" s="492"/>
    </row>
    <row r="54" spans="1:6" s="494" customFormat="1" ht="12.75" customHeight="1">
      <c r="A54" s="486">
        <f t="shared" si="1"/>
        <v>49</v>
      </c>
      <c r="B54" s="487"/>
      <c r="C54" s="488"/>
      <c r="D54" s="489"/>
      <c r="E54" s="493"/>
      <c r="F54" s="492"/>
    </row>
    <row r="55" spans="1:6" s="494" customFormat="1" ht="12.75" customHeight="1">
      <c r="A55" s="486">
        <f t="shared" si="1"/>
        <v>50</v>
      </c>
      <c r="B55" s="487"/>
      <c r="C55" s="488"/>
      <c r="D55" s="489"/>
      <c r="E55" s="493"/>
      <c r="F55" s="492"/>
    </row>
    <row r="56" spans="3:4" s="494" customFormat="1" ht="12.75">
      <c r="C56" s="483"/>
      <c r="D56" s="483"/>
    </row>
    <row r="57" spans="3:5" s="495" customFormat="1" ht="12.75" customHeight="1" hidden="1">
      <c r="C57" s="496">
        <f>50-COUNTIF(C6:C55,"")</f>
        <v>0</v>
      </c>
      <c r="D57" s="496"/>
      <c r="E57" s="497">
        <f ca="1">TODAY()</f>
        <v>42257</v>
      </c>
    </row>
    <row r="58" s="48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4">
    <pageSetUpPr fitToPage="1"/>
  </sheetPr>
  <dimension ref="A1:AU309"/>
  <sheetViews>
    <sheetView showGridLines="0" showRowColHeaders="0" showZeros="0" zoomScale="70" zoomScaleNormal="70" zoomScalePageLayoutView="0" workbookViewId="0" topLeftCell="A1">
      <pane ySplit="8" topLeftCell="A9" activePane="bottomLeft" state="frozen"/>
      <selection pane="topLeft" activeCell="C8" sqref="C8"/>
      <selection pane="bottomLeft" activeCell="B9" sqref="B9"/>
    </sheetView>
  </sheetViews>
  <sheetFormatPr defaultColWidth="9.00390625" defaultRowHeight="12.75"/>
  <cols>
    <col min="1" max="1" width="4.00390625" style="0" customWidth="1"/>
    <col min="2" max="2" width="9.375" style="0" customWidth="1"/>
    <col min="3" max="3" width="29.75390625" style="0" customWidth="1"/>
    <col min="4" max="4" width="11.625" style="0" customWidth="1"/>
    <col min="5" max="5" width="12.625" style="0" customWidth="1"/>
    <col min="6" max="8" width="13.25390625" style="0" customWidth="1"/>
    <col min="9" max="9" width="29.75390625" style="0" customWidth="1"/>
    <col min="10" max="10" width="11.625" style="0" customWidth="1"/>
    <col min="11" max="11" width="12.75390625" style="0" customWidth="1"/>
    <col min="12" max="13" width="13.25390625" style="0" customWidth="1"/>
    <col min="14" max="14" width="10.25390625" style="0" customWidth="1"/>
    <col min="15" max="15" width="11.75390625" style="0" customWidth="1"/>
    <col min="16" max="16" width="13.25390625" style="0" customWidth="1"/>
    <col min="17" max="17" width="9.125" style="257" hidden="1" customWidth="1"/>
    <col min="18" max="18" width="5.625" style="258" hidden="1" customWidth="1"/>
    <col min="19" max="19" width="9.125" style="257" hidden="1" customWidth="1"/>
    <col min="20" max="20" width="3.00390625" style="257" hidden="1" customWidth="1"/>
    <col min="21" max="21" width="4.25390625" style="257" hidden="1" customWidth="1"/>
    <col min="22" max="22" width="3.125" style="257" hidden="1" customWidth="1"/>
    <col min="23" max="23" width="4.125" style="257" hidden="1" customWidth="1"/>
    <col min="24" max="24" width="3.375" style="257" hidden="1" customWidth="1"/>
    <col min="25" max="25" width="16.375" style="257" hidden="1" customWidth="1"/>
    <col min="26" max="26" width="5.625" style="257" hidden="1" customWidth="1"/>
    <col min="27" max="27" width="3.00390625" style="257" hidden="1" customWidth="1"/>
    <col min="28" max="28" width="4.00390625" style="257" hidden="1" customWidth="1"/>
    <col min="29" max="29" width="3.125" style="257" hidden="1" customWidth="1"/>
    <col min="30" max="30" width="4.125" style="257" hidden="1" customWidth="1"/>
    <col min="31" max="31" width="3.375" style="257" hidden="1" customWidth="1"/>
    <col min="32" max="32" width="16.375" style="257" hidden="1" customWidth="1"/>
    <col min="33" max="33" width="5.625" style="257" hidden="1" customWidth="1"/>
    <col min="34" max="34" width="30.25390625" style="257" hidden="1" customWidth="1"/>
    <col min="35" max="40" width="9.125" style="0" hidden="1" customWidth="1"/>
    <col min="41" max="41" width="35.375" style="0" hidden="1" customWidth="1"/>
    <col min="42" max="42" width="17.375" style="0" hidden="1" customWidth="1"/>
    <col min="43" max="43" width="10.625" style="0" hidden="1" customWidth="1"/>
    <col min="44" max="45" width="17.375" style="0" hidden="1" customWidth="1"/>
    <col min="46" max="53" width="9.125" style="0" hidden="1" customWidth="1"/>
  </cols>
  <sheetData>
    <row r="1" spans="2:16" ht="39.75" customHeight="1">
      <c r="B1" s="591"/>
      <c r="C1" s="657" t="s">
        <v>125</v>
      </c>
      <c r="D1" s="657"/>
      <c r="E1" s="657"/>
      <c r="F1" s="657"/>
      <c r="G1" s="657"/>
      <c r="H1" s="657"/>
      <c r="I1" s="657"/>
      <c r="J1" s="657"/>
      <c r="K1" s="657"/>
      <c r="L1" s="657"/>
      <c r="M1" s="591"/>
      <c r="N1" s="660" t="str">
        <f>IF(AO309=0,"","ДАННЫЕ ЗАГРУЖЕНЫ")</f>
        <v>ДАННЫЕ ЗАГРУЖЕНЫ</v>
      </c>
      <c r="O1" s="661"/>
      <c r="P1" s="662"/>
    </row>
    <row r="2" spans="2:16" ht="38.25" customHeight="1">
      <c r="B2" s="593"/>
      <c r="C2" s="669" t="str">
        <f>IF(Установка!C3="","",UPPER(Установка!C3))</f>
        <v>ПЕРВЕНСТВО ЧЕЛЯБИНСКОЙ ОБЛАСТИ</v>
      </c>
      <c r="D2" s="669"/>
      <c r="E2" s="669"/>
      <c r="F2" s="669"/>
      <c r="G2" s="669"/>
      <c r="H2" s="669"/>
      <c r="I2" s="669"/>
      <c r="J2" s="669"/>
      <c r="K2" s="669"/>
      <c r="L2" s="669"/>
      <c r="M2" s="593"/>
      <c r="N2" s="663" t="str">
        <f>IF($AO$309=0,"",CONCATENATE("Свободных мест - ",300-$AO$309))</f>
        <v>Свободных мест - 273</v>
      </c>
      <c r="O2" s="664"/>
      <c r="P2" s="665"/>
    </row>
    <row r="3" spans="1:16" ht="12.75">
      <c r="A3" s="592"/>
      <c r="B3" s="592"/>
      <c r="C3" s="668" t="s">
        <v>0</v>
      </c>
      <c r="D3" s="668"/>
      <c r="E3" s="668"/>
      <c r="F3" s="668"/>
      <c r="G3" s="668"/>
      <c r="H3" s="668"/>
      <c r="I3" s="668"/>
      <c r="J3" s="668"/>
      <c r="K3" s="668"/>
      <c r="L3" s="668"/>
      <c r="M3" s="592"/>
      <c r="N3" s="592"/>
      <c r="O3" s="592"/>
      <c r="P3" s="592"/>
    </row>
    <row r="4" spans="3:16" ht="12.75">
      <c r="C4" s="415" t="s">
        <v>82</v>
      </c>
      <c r="D4" s="671" t="str">
        <f>IF(Установка!$C$4="","",UPPER(Установка!$C$4))</f>
        <v>ДО 13 ЛЕТ</v>
      </c>
      <c r="E4" s="671"/>
      <c r="F4" s="671"/>
      <c r="G4" s="255"/>
      <c r="H4" s="255"/>
      <c r="I4" s="255"/>
      <c r="J4" s="255"/>
      <c r="K4" s="255"/>
      <c r="L4" s="255"/>
      <c r="M4" s="255"/>
      <c r="N4" s="614" t="str">
        <f>IF(Установка!$C$5="","Ю/Д/М/Ж/СМ",UPPER(Установка!$C$5))</f>
        <v>ДЕВУШКИ</v>
      </c>
      <c r="P4" s="255"/>
    </row>
    <row r="5" spans="1:18" ht="34.5" customHeight="1">
      <c r="A5" s="416"/>
      <c r="B5" s="416"/>
      <c r="C5" s="416"/>
      <c r="D5" s="416"/>
      <c r="E5" s="416"/>
      <c r="F5" s="416"/>
      <c r="G5" s="416"/>
      <c r="H5" s="416"/>
      <c r="I5" s="416"/>
      <c r="J5" s="416"/>
      <c r="K5" s="416"/>
      <c r="L5" s="416"/>
      <c r="M5" s="416"/>
      <c r="P5" s="416"/>
      <c r="Q5" s="511"/>
      <c r="R5" s="257">
        <f>IF(Q5=0,"",INDEX(C9:C58,Q5))</f>
      </c>
    </row>
    <row r="6" spans="3:34" s="414" customFormat="1" ht="12.75" hidden="1">
      <c r="C6" s="417">
        <f>50-COUNTIF(C9:C58,"")</f>
        <v>6</v>
      </c>
      <c r="N6" s="414">
        <f>50-COUNTIF(N9:N58,"")</f>
        <v>0</v>
      </c>
      <c r="O6" s="414">
        <f>COUNTIF(O9:O58,"СК")</f>
        <v>0</v>
      </c>
      <c r="Q6" s="512"/>
      <c r="R6" s="512">
        <f>50-COUNTIF(R9:R58,0)</f>
        <v>0</v>
      </c>
      <c r="S6" s="258"/>
      <c r="T6" s="258"/>
      <c r="U6" s="258"/>
      <c r="V6" s="258"/>
      <c r="W6" s="258"/>
      <c r="X6" s="258"/>
      <c r="Y6" s="258"/>
      <c r="Z6" s="258"/>
      <c r="AA6" s="258"/>
      <c r="AB6" s="258"/>
      <c r="AC6" s="258"/>
      <c r="AD6" s="258"/>
      <c r="AE6" s="258"/>
      <c r="AF6" s="258"/>
      <c r="AG6" s="258"/>
      <c r="AH6" s="258"/>
    </row>
    <row r="7" spans="1:34" s="422" customFormat="1" ht="12.75">
      <c r="A7" s="672" t="s">
        <v>13</v>
      </c>
      <c r="B7" s="659" t="s">
        <v>126</v>
      </c>
      <c r="C7" s="659"/>
      <c r="D7" s="659"/>
      <c r="E7" s="659"/>
      <c r="F7" s="659"/>
      <c r="G7" s="659"/>
      <c r="H7" s="659" t="s">
        <v>127</v>
      </c>
      <c r="I7" s="659"/>
      <c r="J7" s="659"/>
      <c r="K7" s="659"/>
      <c r="L7" s="659"/>
      <c r="M7" s="659"/>
      <c r="N7" s="667" t="s">
        <v>122</v>
      </c>
      <c r="O7" s="658" t="s">
        <v>128</v>
      </c>
      <c r="P7" s="666" t="s">
        <v>169</v>
      </c>
      <c r="Q7" s="512"/>
      <c r="R7" s="512"/>
      <c r="S7" s="258"/>
      <c r="T7" s="258"/>
      <c r="U7" s="258"/>
      <c r="V7" s="258"/>
      <c r="W7" s="258"/>
      <c r="X7" s="258"/>
      <c r="Y7" s="258"/>
      <c r="Z7" s="258"/>
      <c r="AA7" s="258"/>
      <c r="AB7" s="258"/>
      <c r="AC7" s="258"/>
      <c r="AD7" s="258"/>
      <c r="AE7" s="258"/>
      <c r="AF7" s="258"/>
      <c r="AG7" s="258"/>
      <c r="AH7" s="258"/>
    </row>
    <row r="8" spans="1:47" s="418" customFormat="1" ht="76.5" customHeight="1">
      <c r="A8" s="672"/>
      <c r="B8" s="594" t="s">
        <v>118</v>
      </c>
      <c r="C8" s="594" t="s">
        <v>119</v>
      </c>
      <c r="D8" s="594" t="s">
        <v>41</v>
      </c>
      <c r="E8" s="594" t="s">
        <v>120</v>
      </c>
      <c r="F8" s="594" t="s">
        <v>21</v>
      </c>
      <c r="G8" s="594" t="s">
        <v>121</v>
      </c>
      <c r="H8" s="594" t="s">
        <v>118</v>
      </c>
      <c r="I8" s="594" t="s">
        <v>119</v>
      </c>
      <c r="J8" s="594" t="s">
        <v>41</v>
      </c>
      <c r="K8" s="594" t="s">
        <v>120</v>
      </c>
      <c r="L8" s="594" t="s">
        <v>21</v>
      </c>
      <c r="M8" s="594" t="s">
        <v>121</v>
      </c>
      <c r="N8" s="667"/>
      <c r="O8" s="658"/>
      <c r="P8" s="667"/>
      <c r="Q8" s="513" t="s">
        <v>123</v>
      </c>
      <c r="R8" s="514" t="s">
        <v>124</v>
      </c>
      <c r="S8" s="515"/>
      <c r="T8" s="516"/>
      <c r="U8" s="516"/>
      <c r="V8" s="516"/>
      <c r="W8" s="516"/>
      <c r="X8" s="516"/>
      <c r="Y8" s="516"/>
      <c r="Z8" s="516"/>
      <c r="AA8" s="516"/>
      <c r="AB8" s="516"/>
      <c r="AC8" s="516"/>
      <c r="AD8" s="516"/>
      <c r="AE8" s="516"/>
      <c r="AF8" s="516"/>
      <c r="AG8" s="516"/>
      <c r="AH8" s="519"/>
      <c r="AO8" s="517" t="s">
        <v>119</v>
      </c>
      <c r="AP8" s="517" t="s">
        <v>41</v>
      </c>
      <c r="AQ8" s="517" t="s">
        <v>120</v>
      </c>
      <c r="AR8" s="517" t="s">
        <v>21</v>
      </c>
      <c r="AS8" s="517" t="s">
        <v>121</v>
      </c>
      <c r="AT8" s="590"/>
      <c r="AU8" s="590"/>
    </row>
    <row r="9" spans="1:45" s="6" customFormat="1" ht="20.25" customHeight="1">
      <c r="A9" s="421">
        <f>ROW()-8</f>
        <v>1</v>
      </c>
      <c r="B9" s="639">
        <v>0</v>
      </c>
      <c r="C9" s="649" t="s">
        <v>193</v>
      </c>
      <c r="D9" s="624">
        <v>30693</v>
      </c>
      <c r="E9" s="625">
        <v>38140</v>
      </c>
      <c r="F9" s="624" t="s">
        <v>209</v>
      </c>
      <c r="G9" s="626"/>
      <c r="H9" s="639">
        <v>112</v>
      </c>
      <c r="I9" s="649" t="s">
        <v>205</v>
      </c>
      <c r="J9" s="624">
        <v>29110</v>
      </c>
      <c r="K9" s="625">
        <v>38025</v>
      </c>
      <c r="L9" s="624" t="s">
        <v>209</v>
      </c>
      <c r="M9" s="627"/>
      <c r="N9" s="597"/>
      <c r="O9" s="598"/>
      <c r="P9" s="599">
        <f aca="true" t="shared" si="0" ref="P9:P40">B9+H9</f>
        <v>112</v>
      </c>
      <c r="Q9" s="600">
        <f aca="true" t="shared" si="1" ref="Q9:Q40">IF(ISBLANK(C9),2,IF(ISBLANK(N9),0,1))</f>
        <v>0</v>
      </c>
      <c r="R9" s="601">
        <f aca="true" t="shared" si="2" ref="R9:R40">IF(O9="СК",1,0)</f>
        <v>0</v>
      </c>
      <c r="S9" s="602"/>
      <c r="T9" s="603">
        <f aca="true" t="shared" si="3" ref="T9:T40">LEN(C9)</f>
        <v>27</v>
      </c>
      <c r="U9" s="603">
        <f aca="true" t="shared" si="4" ref="U9:U40">IF((T9)=0,0,FIND(" ",C9))</f>
        <v>9</v>
      </c>
      <c r="V9" s="603" t="str">
        <f aca="true" t="shared" si="5" ref="V9:V40">IF(OR(ISERR(U9),T9=0),"",CONCATENATE(MID(C9,U9+1,1),"."))</f>
        <v>Е.</v>
      </c>
      <c r="W9" s="603">
        <f aca="true" t="shared" si="6" ref="W9:W40">IF(LEN(C9)=0,0,FIND(" ",C9,U9+1))</f>
        <v>19</v>
      </c>
      <c r="X9" s="603" t="str">
        <f aca="true" t="shared" si="7" ref="X9:X40">IF(OR(T9=0,ISERR(W9)),"",CONCATENATE(MID(C9,W9+1,1),"."))</f>
        <v>О.</v>
      </c>
      <c r="Y9" s="603" t="str">
        <f aca="true" t="shared" si="8" ref="Y9:Y40">IF(C9="","",IF(ISERR(U9),UPPER(C9),UPPER(MID(C9,1,U9-1))))</f>
        <v>МАТВЕЕВА</v>
      </c>
      <c r="Z9" s="603" t="str">
        <f aca="true" t="shared" si="9" ref="Z9:Z40">CONCATENATE(V9,X9)</f>
        <v>Е.О.</v>
      </c>
      <c r="AA9" s="603">
        <f>LEN(I9)</f>
        <v>27</v>
      </c>
      <c r="AB9" s="603">
        <f aca="true" t="shared" si="10" ref="AB9:AB40">IF((AA9)=0,0,FIND(" ",I9))</f>
        <v>9</v>
      </c>
      <c r="AC9" s="603" t="str">
        <f aca="true" t="shared" si="11" ref="AC9:AC40">IF(OR(ISERR(AB9),AA9=0),"",CONCATENATE(MID(I9,AB9+1,1),"."))</f>
        <v>А.</v>
      </c>
      <c r="AD9" s="603">
        <f aca="true" t="shared" si="12" ref="AD9:AD40">IF(LEN(I9)=0,0,FIND(" ",I9,AB9+1))</f>
        <v>19</v>
      </c>
      <c r="AE9" s="603" t="str">
        <f aca="true" t="shared" si="13" ref="AE9:AE40">IF(OR(AA9=0,ISERR(AD9)),"",CONCATENATE(MID(I9,AD9+1,1),"."))</f>
        <v>О.</v>
      </c>
      <c r="AF9" s="603" t="str">
        <f aca="true" t="shared" si="14" ref="AF9:AF40">IF(I9="","",IF(ISERR(AB9),UPPER(I9),UPPER(MID(I9,1,AB9-1))))</f>
        <v>ХАБАРОВА</v>
      </c>
      <c r="AG9" s="603" t="str">
        <f>CONCATENATE(AC9,AE9)</f>
        <v>А.О.</v>
      </c>
      <c r="AH9" s="604" t="str">
        <f>CONCATENATE(Y9," / ",AF9)</f>
        <v>МАТВЕЕВА / ХАБАРОВА</v>
      </c>
      <c r="AO9" s="604" t="s">
        <v>179</v>
      </c>
      <c r="AP9" s="604">
        <v>29606</v>
      </c>
      <c r="AQ9" s="604">
        <v>38258</v>
      </c>
      <c r="AR9" s="604" t="s">
        <v>206</v>
      </c>
      <c r="AS9" s="604"/>
    </row>
    <row r="10" spans="1:45" s="6" customFormat="1" ht="20.25" customHeight="1">
      <c r="A10" s="605">
        <f aca="true" t="shared" si="15" ref="A10:A58">ROW()-8</f>
        <v>2</v>
      </c>
      <c r="B10" s="640">
        <v>13</v>
      </c>
      <c r="C10" s="649" t="s">
        <v>196</v>
      </c>
      <c r="D10" s="630">
        <v>27705</v>
      </c>
      <c r="E10" s="631">
        <v>37737</v>
      </c>
      <c r="F10" s="630" t="s">
        <v>207</v>
      </c>
      <c r="G10" s="626"/>
      <c r="H10" s="640">
        <v>46</v>
      </c>
      <c r="I10" s="649" t="s">
        <v>202</v>
      </c>
      <c r="J10" s="630">
        <v>28146</v>
      </c>
      <c r="K10" s="631">
        <v>37952</v>
      </c>
      <c r="L10" s="630" t="s">
        <v>207</v>
      </c>
      <c r="M10" s="627"/>
      <c r="N10" s="628"/>
      <c r="O10" s="629"/>
      <c r="P10" s="608">
        <f t="shared" si="0"/>
        <v>59</v>
      </c>
      <c r="Q10" s="600">
        <f t="shared" si="1"/>
        <v>0</v>
      </c>
      <c r="R10" s="601">
        <f t="shared" si="2"/>
        <v>0</v>
      </c>
      <c r="S10" s="602"/>
      <c r="T10" s="603">
        <f t="shared" si="3"/>
        <v>21</v>
      </c>
      <c r="U10" s="603">
        <f t="shared" si="4"/>
        <v>9</v>
      </c>
      <c r="V10" s="603" t="str">
        <f t="shared" si="5"/>
        <v>Я.</v>
      </c>
      <c r="W10" s="603">
        <f t="shared" si="6"/>
        <v>13</v>
      </c>
      <c r="X10" s="603" t="str">
        <f t="shared" si="7"/>
        <v>О.</v>
      </c>
      <c r="Y10" s="603" t="str">
        <f t="shared" si="8"/>
        <v>ПАНЬКОВА</v>
      </c>
      <c r="Z10" s="603" t="str">
        <f t="shared" si="9"/>
        <v>Я.О.</v>
      </c>
      <c r="AA10" s="603">
        <f aca="true" t="shared" si="16" ref="AA10:AA57">LEN(I10)</f>
        <v>27</v>
      </c>
      <c r="AB10" s="603">
        <f t="shared" si="10"/>
        <v>9</v>
      </c>
      <c r="AC10" s="603" t="str">
        <f t="shared" si="11"/>
        <v>В.</v>
      </c>
      <c r="AD10" s="603">
        <f t="shared" si="12"/>
        <v>17</v>
      </c>
      <c r="AE10" s="603" t="str">
        <f t="shared" si="13"/>
        <v>А.</v>
      </c>
      <c r="AF10" s="603" t="str">
        <f t="shared" si="14"/>
        <v>ТАРАНОВА</v>
      </c>
      <c r="AG10" s="603" t="str">
        <f aca="true" t="shared" si="17" ref="AG10:AG57">CONCATENATE(AC10,AE10)</f>
        <v>В.А.</v>
      </c>
      <c r="AH10" s="604" t="str">
        <f aca="true" t="shared" si="18" ref="AH10:AH57">CONCATENATE(Y10," / ",AF10)</f>
        <v>ПАНЬКОВА / ТАРАНОВА</v>
      </c>
      <c r="AO10" s="257" t="s">
        <v>180</v>
      </c>
      <c r="AP10" s="257">
        <v>29430</v>
      </c>
      <c r="AQ10" s="257">
        <v>38132</v>
      </c>
      <c r="AR10" s="257" t="s">
        <v>207</v>
      </c>
      <c r="AS10" s="257"/>
    </row>
    <row r="11" spans="1:45" s="6" customFormat="1" ht="20.25" customHeight="1">
      <c r="A11" s="605">
        <f t="shared" si="15"/>
        <v>3</v>
      </c>
      <c r="B11" s="640">
        <v>12</v>
      </c>
      <c r="C11" s="649" t="s">
        <v>191</v>
      </c>
      <c r="D11" s="630">
        <v>31323</v>
      </c>
      <c r="E11" s="631">
        <v>38405</v>
      </c>
      <c r="F11" s="630" t="s">
        <v>175</v>
      </c>
      <c r="G11" s="626"/>
      <c r="H11" s="640">
        <v>38</v>
      </c>
      <c r="I11" s="649" t="s">
        <v>199</v>
      </c>
      <c r="J11" s="630">
        <v>30039</v>
      </c>
      <c r="K11" s="631">
        <v>38036</v>
      </c>
      <c r="L11" s="630" t="s">
        <v>175</v>
      </c>
      <c r="M11" s="627"/>
      <c r="N11" s="597"/>
      <c r="O11" s="598"/>
      <c r="P11" s="647">
        <f t="shared" si="0"/>
        <v>50</v>
      </c>
      <c r="Q11" s="600">
        <f t="shared" si="1"/>
        <v>0</v>
      </c>
      <c r="R11" s="601">
        <f t="shared" si="2"/>
        <v>0</v>
      </c>
      <c r="S11" s="602"/>
      <c r="T11" s="603">
        <f t="shared" si="3"/>
        <v>23</v>
      </c>
      <c r="U11" s="603">
        <f t="shared" si="4"/>
        <v>8</v>
      </c>
      <c r="V11" s="603" t="str">
        <f t="shared" si="5"/>
        <v>Д.</v>
      </c>
      <c r="W11" s="603">
        <f t="shared" si="6"/>
        <v>14</v>
      </c>
      <c r="X11" s="603" t="str">
        <f t="shared" si="7"/>
        <v>А.</v>
      </c>
      <c r="Y11" s="603" t="str">
        <f t="shared" si="8"/>
        <v>КОПТЕВА</v>
      </c>
      <c r="Z11" s="603" t="str">
        <f t="shared" si="9"/>
        <v>Д.А.</v>
      </c>
      <c r="AA11" s="603">
        <f t="shared" si="16"/>
        <v>26</v>
      </c>
      <c r="AB11" s="603">
        <f t="shared" si="10"/>
        <v>10</v>
      </c>
      <c r="AC11" s="603" t="str">
        <f t="shared" si="11"/>
        <v>П.</v>
      </c>
      <c r="AD11" s="603">
        <f t="shared" si="12"/>
        <v>17</v>
      </c>
      <c r="AE11" s="603" t="str">
        <f t="shared" si="13"/>
        <v>С.</v>
      </c>
      <c r="AF11" s="603" t="str">
        <f t="shared" si="14"/>
        <v>САФРОНОВА</v>
      </c>
      <c r="AG11" s="603" t="str">
        <f t="shared" si="17"/>
        <v>П.С.</v>
      </c>
      <c r="AH11" s="604" t="str">
        <f t="shared" si="18"/>
        <v>КОПТЕВА / САФРОНОВА</v>
      </c>
      <c r="AO11" s="257" t="s">
        <v>181</v>
      </c>
      <c r="AP11" s="257">
        <v>34300</v>
      </c>
      <c r="AQ11" s="257">
        <v>38423</v>
      </c>
      <c r="AR11" s="257" t="s">
        <v>175</v>
      </c>
      <c r="AS11" s="257"/>
    </row>
    <row r="12" spans="1:45" s="6" customFormat="1" ht="20.25" customHeight="1">
      <c r="A12" s="605">
        <f t="shared" si="15"/>
        <v>4</v>
      </c>
      <c r="B12" s="640">
        <v>12</v>
      </c>
      <c r="C12" s="649" t="s">
        <v>186</v>
      </c>
      <c r="D12" s="630">
        <v>31454</v>
      </c>
      <c r="E12" s="631">
        <v>38155</v>
      </c>
      <c r="F12" s="630" t="s">
        <v>207</v>
      </c>
      <c r="G12" s="626"/>
      <c r="H12" s="640">
        <v>29</v>
      </c>
      <c r="I12" s="649" t="s">
        <v>188</v>
      </c>
      <c r="J12" s="630">
        <v>29149</v>
      </c>
      <c r="K12" s="631">
        <v>38139</v>
      </c>
      <c r="L12" s="630" t="s">
        <v>207</v>
      </c>
      <c r="M12" s="627"/>
      <c r="N12" s="628"/>
      <c r="O12" s="629"/>
      <c r="P12" s="608">
        <f t="shared" si="0"/>
        <v>41</v>
      </c>
      <c r="Q12" s="600">
        <f t="shared" si="1"/>
        <v>0</v>
      </c>
      <c r="R12" s="601">
        <f t="shared" si="2"/>
        <v>0</v>
      </c>
      <c r="S12" s="602"/>
      <c r="T12" s="603">
        <f t="shared" si="3"/>
        <v>29</v>
      </c>
      <c r="U12" s="603">
        <f t="shared" si="4"/>
        <v>9</v>
      </c>
      <c r="V12" s="603" t="str">
        <f t="shared" si="5"/>
        <v>Е.</v>
      </c>
      <c r="W12" s="603">
        <f t="shared" si="6"/>
        <v>19</v>
      </c>
      <c r="X12" s="603" t="str">
        <f t="shared" si="7"/>
        <v>А.</v>
      </c>
      <c r="Y12" s="603" t="str">
        <f t="shared" si="8"/>
        <v>ЗАБАРЧУК</v>
      </c>
      <c r="Z12" s="603" t="str">
        <f t="shared" si="9"/>
        <v>Е.А.</v>
      </c>
      <c r="AA12" s="603">
        <f t="shared" si="16"/>
        <v>29</v>
      </c>
      <c r="AB12" s="603">
        <f t="shared" si="10"/>
        <v>11</v>
      </c>
      <c r="AC12" s="603" t="str">
        <f t="shared" si="11"/>
        <v>В.</v>
      </c>
      <c r="AD12" s="603">
        <f t="shared" si="12"/>
        <v>19</v>
      </c>
      <c r="AE12" s="603" t="str">
        <f t="shared" si="13"/>
        <v>Д.</v>
      </c>
      <c r="AF12" s="603" t="str">
        <f t="shared" si="14"/>
        <v>ИВАНОВСКАЯ</v>
      </c>
      <c r="AG12" s="603" t="str">
        <f t="shared" si="17"/>
        <v>В.Д.</v>
      </c>
      <c r="AH12" s="604" t="str">
        <f t="shared" si="18"/>
        <v>ЗАБАРЧУК / ИВАНОВСКАЯ</v>
      </c>
      <c r="AO12" s="604" t="s">
        <v>182</v>
      </c>
      <c r="AP12" s="604">
        <v>34371</v>
      </c>
      <c r="AQ12" s="604">
        <v>38115</v>
      </c>
      <c r="AR12" s="604" t="s">
        <v>175</v>
      </c>
      <c r="AS12" s="604"/>
    </row>
    <row r="13" spans="1:45" s="6" customFormat="1" ht="20.25" customHeight="1">
      <c r="A13" s="605">
        <f t="shared" si="15"/>
        <v>5</v>
      </c>
      <c r="B13" s="640">
        <v>16</v>
      </c>
      <c r="C13" s="649" t="s">
        <v>180</v>
      </c>
      <c r="D13" s="630">
        <v>29430</v>
      </c>
      <c r="E13" s="631">
        <v>38132</v>
      </c>
      <c r="F13" s="630" t="s">
        <v>207</v>
      </c>
      <c r="G13" s="626"/>
      <c r="H13" s="640">
        <v>3</v>
      </c>
      <c r="I13" s="649" t="s">
        <v>183</v>
      </c>
      <c r="J13" s="630">
        <v>31079</v>
      </c>
      <c r="K13" s="631">
        <v>38491</v>
      </c>
      <c r="L13" s="630" t="s">
        <v>207</v>
      </c>
      <c r="M13" s="627"/>
      <c r="N13" s="628"/>
      <c r="O13" s="629"/>
      <c r="P13" s="608">
        <f t="shared" si="0"/>
        <v>19</v>
      </c>
      <c r="Q13" s="600">
        <f t="shared" si="1"/>
        <v>0</v>
      </c>
      <c r="R13" s="601">
        <f t="shared" si="2"/>
        <v>0</v>
      </c>
      <c r="S13" s="602"/>
      <c r="T13" s="603">
        <f t="shared" si="3"/>
        <v>30</v>
      </c>
      <c r="U13" s="603">
        <f t="shared" si="4"/>
        <v>13</v>
      </c>
      <c r="V13" s="603" t="str">
        <f t="shared" si="5"/>
        <v>К.</v>
      </c>
      <c r="W13" s="603">
        <f t="shared" si="6"/>
        <v>20</v>
      </c>
      <c r="X13" s="603" t="str">
        <f t="shared" si="7"/>
        <v>И.</v>
      </c>
      <c r="Y13" s="603" t="str">
        <f t="shared" si="8"/>
        <v>АСФАНДИЯРОВА</v>
      </c>
      <c r="Z13" s="603" t="str">
        <f t="shared" si="9"/>
        <v>К.И.</v>
      </c>
      <c r="AA13" s="603">
        <f t="shared" si="16"/>
        <v>28</v>
      </c>
      <c r="AB13" s="603">
        <f t="shared" si="10"/>
        <v>10</v>
      </c>
      <c r="AC13" s="603" t="str">
        <f t="shared" si="11"/>
        <v>Е.</v>
      </c>
      <c r="AD13" s="603">
        <f t="shared" si="12"/>
        <v>18</v>
      </c>
      <c r="AE13" s="603" t="str">
        <f t="shared" si="13"/>
        <v>Д.</v>
      </c>
      <c r="AF13" s="603" t="str">
        <f t="shared" si="14"/>
        <v>ГОРЯИНОВА</v>
      </c>
      <c r="AG13" s="603" t="str">
        <f t="shared" si="17"/>
        <v>Е.Д.</v>
      </c>
      <c r="AH13" s="604" t="str">
        <f t="shared" si="18"/>
        <v>АСФАНДИЯРОВА / ГОРЯИНОВА</v>
      </c>
      <c r="AO13" s="257" t="s">
        <v>183</v>
      </c>
      <c r="AP13" s="257">
        <v>31079</v>
      </c>
      <c r="AQ13" s="257">
        <v>38491</v>
      </c>
      <c r="AR13" s="257" t="s">
        <v>207</v>
      </c>
      <c r="AS13" s="257"/>
    </row>
    <row r="14" spans="1:45" s="6" customFormat="1" ht="20.25" customHeight="1">
      <c r="A14" s="605">
        <f t="shared" si="15"/>
        <v>6</v>
      </c>
      <c r="B14" s="640">
        <v>5</v>
      </c>
      <c r="C14" s="649" t="s">
        <v>195</v>
      </c>
      <c r="D14" s="630">
        <v>31482</v>
      </c>
      <c r="E14" s="631">
        <v>38184</v>
      </c>
      <c r="F14" s="630" t="s">
        <v>175</v>
      </c>
      <c r="G14" s="626"/>
      <c r="H14" s="640">
        <v>0</v>
      </c>
      <c r="I14" s="649" t="s">
        <v>197</v>
      </c>
      <c r="J14" s="630">
        <v>31641</v>
      </c>
      <c r="K14" s="631">
        <v>38619</v>
      </c>
      <c r="L14" s="630" t="s">
        <v>175</v>
      </c>
      <c r="M14" s="627"/>
      <c r="N14" s="628"/>
      <c r="O14" s="629"/>
      <c r="P14" s="608">
        <f t="shared" si="0"/>
        <v>5</v>
      </c>
      <c r="Q14" s="600">
        <f t="shared" si="1"/>
        <v>0</v>
      </c>
      <c r="R14" s="601">
        <f t="shared" si="2"/>
        <v>0</v>
      </c>
      <c r="S14" s="602"/>
      <c r="T14" s="603">
        <f t="shared" si="3"/>
        <v>27</v>
      </c>
      <c r="U14" s="603">
        <f t="shared" si="4"/>
        <v>11</v>
      </c>
      <c r="V14" s="603" t="str">
        <f t="shared" si="5"/>
        <v>М.</v>
      </c>
      <c r="W14" s="603">
        <f t="shared" si="6"/>
        <v>17</v>
      </c>
      <c r="X14" s="603" t="str">
        <f t="shared" si="7"/>
        <v>Д.</v>
      </c>
      <c r="Y14" s="603" t="str">
        <f t="shared" si="8"/>
        <v>НЕСВЕТАЕВА</v>
      </c>
      <c r="Z14" s="603" t="str">
        <f t="shared" si="9"/>
        <v>М.Д.</v>
      </c>
      <c r="AA14" s="603">
        <f t="shared" si="16"/>
        <v>26</v>
      </c>
      <c r="AB14" s="603">
        <f t="shared" si="10"/>
        <v>10</v>
      </c>
      <c r="AC14" s="603" t="str">
        <f t="shared" si="11"/>
        <v>С.</v>
      </c>
      <c r="AD14" s="603">
        <f t="shared" si="12"/>
        <v>16</v>
      </c>
      <c r="AE14" s="603" t="str">
        <f t="shared" si="13"/>
        <v>А.</v>
      </c>
      <c r="AF14" s="603" t="str">
        <f t="shared" si="14"/>
        <v>ПЕРВУХИНА</v>
      </c>
      <c r="AG14" s="603" t="str">
        <f t="shared" si="17"/>
        <v>С.А.</v>
      </c>
      <c r="AH14" s="604" t="str">
        <f t="shared" si="18"/>
        <v>НЕСВЕТАЕВА / ПЕРВУХИНА</v>
      </c>
      <c r="AO14" s="257" t="s">
        <v>184</v>
      </c>
      <c r="AP14" s="257">
        <v>27266</v>
      </c>
      <c r="AQ14" s="257">
        <v>37754</v>
      </c>
      <c r="AR14" s="257" t="s">
        <v>207</v>
      </c>
      <c r="AS14" s="257"/>
    </row>
    <row r="15" spans="1:45" s="6" customFormat="1" ht="20.25" customHeight="1">
      <c r="A15" s="605">
        <f t="shared" si="15"/>
        <v>7</v>
      </c>
      <c r="B15" s="640"/>
      <c r="C15" s="649"/>
      <c r="D15" s="630"/>
      <c r="E15" s="631"/>
      <c r="F15" s="630"/>
      <c r="G15" s="626"/>
      <c r="H15" s="640"/>
      <c r="I15" s="649"/>
      <c r="J15" s="630"/>
      <c r="K15" s="631"/>
      <c r="L15" s="630"/>
      <c r="M15" s="627"/>
      <c r="N15" s="628"/>
      <c r="O15" s="629"/>
      <c r="P15" s="608">
        <f t="shared" si="0"/>
        <v>0</v>
      </c>
      <c r="Q15" s="600">
        <f t="shared" si="1"/>
        <v>2</v>
      </c>
      <c r="R15" s="601">
        <f t="shared" si="2"/>
        <v>0</v>
      </c>
      <c r="S15" s="602"/>
      <c r="T15" s="603">
        <f t="shared" si="3"/>
        <v>0</v>
      </c>
      <c r="U15" s="603">
        <f t="shared" si="4"/>
        <v>0</v>
      </c>
      <c r="V15" s="603">
        <f t="shared" si="5"/>
      </c>
      <c r="W15" s="603">
        <f t="shared" si="6"/>
        <v>0</v>
      </c>
      <c r="X15" s="603">
        <f t="shared" si="7"/>
      </c>
      <c r="Y15" s="603">
        <f t="shared" si="8"/>
      </c>
      <c r="Z15" s="603">
        <f t="shared" si="9"/>
      </c>
      <c r="AA15" s="603">
        <f t="shared" si="16"/>
        <v>0</v>
      </c>
      <c r="AB15" s="603">
        <f t="shared" si="10"/>
        <v>0</v>
      </c>
      <c r="AC15" s="603">
        <f t="shared" si="11"/>
      </c>
      <c r="AD15" s="603">
        <f t="shared" si="12"/>
        <v>0</v>
      </c>
      <c r="AE15" s="603">
        <f t="shared" si="13"/>
      </c>
      <c r="AF15" s="603">
        <f t="shared" si="14"/>
      </c>
      <c r="AG15" s="603">
        <f t="shared" si="17"/>
      </c>
      <c r="AH15" s="604" t="str">
        <f t="shared" si="18"/>
        <v> / </v>
      </c>
      <c r="AO15" s="257" t="s">
        <v>185</v>
      </c>
      <c r="AP15" s="257">
        <v>29165</v>
      </c>
      <c r="AQ15" s="257">
        <v>38189</v>
      </c>
      <c r="AR15" s="257" t="s">
        <v>208</v>
      </c>
      <c r="AS15" s="257"/>
    </row>
    <row r="16" spans="1:45" s="6" customFormat="1" ht="20.25" customHeight="1">
      <c r="A16" s="605">
        <f t="shared" si="15"/>
        <v>8</v>
      </c>
      <c r="B16" s="640"/>
      <c r="C16" s="649"/>
      <c r="D16" s="630"/>
      <c r="E16" s="631"/>
      <c r="F16" s="630"/>
      <c r="G16" s="626"/>
      <c r="H16" s="640"/>
      <c r="I16" s="649"/>
      <c r="J16" s="630"/>
      <c r="K16" s="631"/>
      <c r="L16" s="630"/>
      <c r="M16" s="627"/>
      <c r="N16" s="628"/>
      <c r="O16" s="629"/>
      <c r="P16" s="608">
        <f t="shared" si="0"/>
        <v>0</v>
      </c>
      <c r="Q16" s="600">
        <f t="shared" si="1"/>
        <v>2</v>
      </c>
      <c r="R16" s="601">
        <f t="shared" si="2"/>
        <v>0</v>
      </c>
      <c r="S16" s="602"/>
      <c r="T16" s="603">
        <f t="shared" si="3"/>
        <v>0</v>
      </c>
      <c r="U16" s="603">
        <f t="shared" si="4"/>
        <v>0</v>
      </c>
      <c r="V16" s="603">
        <f t="shared" si="5"/>
      </c>
      <c r="W16" s="603">
        <f t="shared" si="6"/>
        <v>0</v>
      </c>
      <c r="X16" s="603">
        <f t="shared" si="7"/>
      </c>
      <c r="Y16" s="603">
        <f t="shared" si="8"/>
      </c>
      <c r="Z16" s="603">
        <f t="shared" si="9"/>
      </c>
      <c r="AA16" s="603">
        <f t="shared" si="16"/>
        <v>0</v>
      </c>
      <c r="AB16" s="603">
        <f t="shared" si="10"/>
        <v>0</v>
      </c>
      <c r="AC16" s="603">
        <f t="shared" si="11"/>
      </c>
      <c r="AD16" s="603">
        <f t="shared" si="12"/>
        <v>0</v>
      </c>
      <c r="AE16" s="603">
        <f t="shared" si="13"/>
      </c>
      <c r="AF16" s="603">
        <f t="shared" si="14"/>
      </c>
      <c r="AG16" s="603">
        <f t="shared" si="17"/>
      </c>
      <c r="AH16" s="604" t="str">
        <f t="shared" si="18"/>
        <v> / </v>
      </c>
      <c r="AK16" s="609"/>
      <c r="AO16" s="257" t="s">
        <v>186</v>
      </c>
      <c r="AP16" s="257">
        <v>31454</v>
      </c>
      <c r="AQ16" s="257">
        <v>38155</v>
      </c>
      <c r="AR16" s="257" t="s">
        <v>207</v>
      </c>
      <c r="AS16" s="257"/>
    </row>
    <row r="17" spans="1:45" s="6" customFormat="1" ht="20.25" customHeight="1">
      <c r="A17" s="605">
        <f t="shared" si="15"/>
        <v>9</v>
      </c>
      <c r="B17" s="640"/>
      <c r="C17" s="649"/>
      <c r="D17" s="630"/>
      <c r="E17" s="631"/>
      <c r="F17" s="630"/>
      <c r="G17" s="626"/>
      <c r="H17" s="640"/>
      <c r="I17" s="649"/>
      <c r="J17" s="630"/>
      <c r="K17" s="631"/>
      <c r="L17" s="630"/>
      <c r="M17" s="627"/>
      <c r="N17" s="628"/>
      <c r="O17" s="629"/>
      <c r="P17" s="608">
        <f t="shared" si="0"/>
        <v>0</v>
      </c>
      <c r="Q17" s="600">
        <f t="shared" si="1"/>
        <v>2</v>
      </c>
      <c r="R17" s="601">
        <f t="shared" si="2"/>
        <v>0</v>
      </c>
      <c r="S17" s="602"/>
      <c r="T17" s="603">
        <f t="shared" si="3"/>
        <v>0</v>
      </c>
      <c r="U17" s="603">
        <f t="shared" si="4"/>
        <v>0</v>
      </c>
      <c r="V17" s="603">
        <f t="shared" si="5"/>
      </c>
      <c r="W17" s="603">
        <f t="shared" si="6"/>
        <v>0</v>
      </c>
      <c r="X17" s="603">
        <f t="shared" si="7"/>
      </c>
      <c r="Y17" s="603">
        <f t="shared" si="8"/>
      </c>
      <c r="Z17" s="603">
        <f t="shared" si="9"/>
      </c>
      <c r="AA17" s="603">
        <f t="shared" si="16"/>
        <v>0</v>
      </c>
      <c r="AB17" s="603">
        <f t="shared" si="10"/>
        <v>0</v>
      </c>
      <c r="AC17" s="603">
        <f t="shared" si="11"/>
      </c>
      <c r="AD17" s="603">
        <f t="shared" si="12"/>
        <v>0</v>
      </c>
      <c r="AE17" s="603">
        <f t="shared" si="13"/>
      </c>
      <c r="AF17" s="603">
        <f t="shared" si="14"/>
      </c>
      <c r="AG17" s="603">
        <f t="shared" si="17"/>
      </c>
      <c r="AH17" s="604" t="str">
        <f t="shared" si="18"/>
        <v> / </v>
      </c>
      <c r="AO17" s="257" t="s">
        <v>187</v>
      </c>
      <c r="AP17" s="257">
        <v>31480</v>
      </c>
      <c r="AQ17" s="257">
        <v>38314</v>
      </c>
      <c r="AR17" s="257" t="s">
        <v>175</v>
      </c>
      <c r="AS17" s="257"/>
    </row>
    <row r="18" spans="1:45" s="6" customFormat="1" ht="20.25" customHeight="1">
      <c r="A18" s="605">
        <f t="shared" si="15"/>
        <v>10</v>
      </c>
      <c r="B18" s="640"/>
      <c r="C18" s="649"/>
      <c r="D18" s="630"/>
      <c r="E18" s="631"/>
      <c r="F18" s="630"/>
      <c r="G18" s="626"/>
      <c r="H18" s="640"/>
      <c r="I18" s="649"/>
      <c r="J18" s="630"/>
      <c r="K18" s="631"/>
      <c r="L18" s="630"/>
      <c r="M18" s="627"/>
      <c r="N18" s="597"/>
      <c r="O18" s="598"/>
      <c r="P18" s="608">
        <f t="shared" si="0"/>
        <v>0</v>
      </c>
      <c r="Q18" s="600">
        <f t="shared" si="1"/>
        <v>2</v>
      </c>
      <c r="R18" s="601">
        <f t="shared" si="2"/>
        <v>0</v>
      </c>
      <c r="S18" s="602"/>
      <c r="T18" s="603">
        <f t="shared" si="3"/>
        <v>0</v>
      </c>
      <c r="U18" s="603">
        <f t="shared" si="4"/>
        <v>0</v>
      </c>
      <c r="V18" s="603">
        <f t="shared" si="5"/>
      </c>
      <c r="W18" s="603">
        <f t="shared" si="6"/>
        <v>0</v>
      </c>
      <c r="X18" s="603">
        <f t="shared" si="7"/>
      </c>
      <c r="Y18" s="603">
        <f t="shared" si="8"/>
      </c>
      <c r="Z18" s="603">
        <f t="shared" si="9"/>
      </c>
      <c r="AA18" s="603">
        <f t="shared" si="16"/>
        <v>0</v>
      </c>
      <c r="AB18" s="603">
        <f t="shared" si="10"/>
        <v>0</v>
      </c>
      <c r="AC18" s="603">
        <f t="shared" si="11"/>
      </c>
      <c r="AD18" s="603">
        <f t="shared" si="12"/>
        <v>0</v>
      </c>
      <c r="AE18" s="603">
        <f t="shared" si="13"/>
      </c>
      <c r="AF18" s="603">
        <f t="shared" si="14"/>
      </c>
      <c r="AG18" s="603">
        <f t="shared" si="17"/>
      </c>
      <c r="AH18" s="604" t="str">
        <f t="shared" si="18"/>
        <v> / </v>
      </c>
      <c r="AO18" s="257" t="s">
        <v>188</v>
      </c>
      <c r="AP18" s="257">
        <v>29149</v>
      </c>
      <c r="AQ18" s="257">
        <v>38139</v>
      </c>
      <c r="AR18" s="257" t="s">
        <v>207</v>
      </c>
      <c r="AS18" s="257"/>
    </row>
    <row r="19" spans="1:45" s="6" customFormat="1" ht="20.25" customHeight="1">
      <c r="A19" s="605">
        <f t="shared" si="15"/>
        <v>11</v>
      </c>
      <c r="B19" s="640"/>
      <c r="C19" s="649"/>
      <c r="D19" s="630"/>
      <c r="E19" s="631"/>
      <c r="F19" s="630"/>
      <c r="G19" s="626"/>
      <c r="H19" s="640"/>
      <c r="I19" s="649"/>
      <c r="J19" s="630"/>
      <c r="K19" s="631"/>
      <c r="L19" s="630"/>
      <c r="M19" s="627"/>
      <c r="N19" s="628"/>
      <c r="O19" s="629"/>
      <c r="P19" s="608">
        <f t="shared" si="0"/>
        <v>0</v>
      </c>
      <c r="Q19" s="600">
        <f t="shared" si="1"/>
        <v>2</v>
      </c>
      <c r="R19" s="601">
        <f t="shared" si="2"/>
        <v>0</v>
      </c>
      <c r="S19" s="602"/>
      <c r="T19" s="603">
        <f t="shared" si="3"/>
        <v>0</v>
      </c>
      <c r="U19" s="603">
        <f t="shared" si="4"/>
        <v>0</v>
      </c>
      <c r="V19" s="603">
        <f t="shared" si="5"/>
      </c>
      <c r="W19" s="603">
        <f t="shared" si="6"/>
        <v>0</v>
      </c>
      <c r="X19" s="603">
        <f t="shared" si="7"/>
      </c>
      <c r="Y19" s="603">
        <f t="shared" si="8"/>
      </c>
      <c r="Z19" s="603">
        <f t="shared" si="9"/>
      </c>
      <c r="AA19" s="603">
        <f t="shared" si="16"/>
        <v>0</v>
      </c>
      <c r="AB19" s="603">
        <f t="shared" si="10"/>
        <v>0</v>
      </c>
      <c r="AC19" s="603">
        <f t="shared" si="11"/>
      </c>
      <c r="AD19" s="603">
        <f t="shared" si="12"/>
        <v>0</v>
      </c>
      <c r="AE19" s="603">
        <f t="shared" si="13"/>
      </c>
      <c r="AF19" s="603">
        <f t="shared" si="14"/>
      </c>
      <c r="AG19" s="603">
        <f t="shared" si="17"/>
      </c>
      <c r="AH19" s="604" t="str">
        <f t="shared" si="18"/>
        <v> / </v>
      </c>
      <c r="AO19" s="257" t="s">
        <v>189</v>
      </c>
      <c r="AP19" s="257">
        <v>33982</v>
      </c>
      <c r="AQ19" s="257">
        <v>38470</v>
      </c>
      <c r="AR19" s="257" t="s">
        <v>175</v>
      </c>
      <c r="AS19" s="257"/>
    </row>
    <row r="20" spans="1:45" s="6" customFormat="1" ht="20.25" customHeight="1">
      <c r="A20" s="605">
        <f t="shared" si="15"/>
        <v>12</v>
      </c>
      <c r="B20" s="640"/>
      <c r="C20" s="649"/>
      <c r="D20" s="630"/>
      <c r="E20" s="631"/>
      <c r="F20" s="630"/>
      <c r="G20" s="626"/>
      <c r="H20" s="640"/>
      <c r="I20" s="649"/>
      <c r="J20" s="630"/>
      <c r="K20" s="631"/>
      <c r="L20" s="630"/>
      <c r="M20" s="627"/>
      <c r="N20" s="628"/>
      <c r="O20" s="629"/>
      <c r="P20" s="608">
        <f t="shared" si="0"/>
        <v>0</v>
      </c>
      <c r="Q20" s="600">
        <f t="shared" si="1"/>
        <v>2</v>
      </c>
      <c r="R20" s="601">
        <f t="shared" si="2"/>
        <v>0</v>
      </c>
      <c r="S20" s="602"/>
      <c r="T20" s="603">
        <f t="shared" si="3"/>
        <v>0</v>
      </c>
      <c r="U20" s="603">
        <f t="shared" si="4"/>
        <v>0</v>
      </c>
      <c r="V20" s="603">
        <f t="shared" si="5"/>
      </c>
      <c r="W20" s="603">
        <f t="shared" si="6"/>
        <v>0</v>
      </c>
      <c r="X20" s="603">
        <f t="shared" si="7"/>
      </c>
      <c r="Y20" s="603">
        <f t="shared" si="8"/>
      </c>
      <c r="Z20" s="603">
        <f t="shared" si="9"/>
      </c>
      <c r="AA20" s="603">
        <f t="shared" si="16"/>
        <v>0</v>
      </c>
      <c r="AB20" s="603">
        <f t="shared" si="10"/>
        <v>0</v>
      </c>
      <c r="AC20" s="603">
        <f t="shared" si="11"/>
      </c>
      <c r="AD20" s="603">
        <f t="shared" si="12"/>
        <v>0</v>
      </c>
      <c r="AE20" s="603">
        <f t="shared" si="13"/>
      </c>
      <c r="AF20" s="603">
        <f t="shared" si="14"/>
      </c>
      <c r="AG20" s="603">
        <f t="shared" si="17"/>
      </c>
      <c r="AH20" s="604" t="str">
        <f t="shared" si="18"/>
        <v> / </v>
      </c>
      <c r="AO20" s="604" t="s">
        <v>190</v>
      </c>
      <c r="AP20" s="604">
        <v>28371</v>
      </c>
      <c r="AQ20" s="604">
        <v>37825</v>
      </c>
      <c r="AR20" s="604" t="s">
        <v>175</v>
      </c>
      <c r="AS20" s="604"/>
    </row>
    <row r="21" spans="1:45" s="6" customFormat="1" ht="20.25" customHeight="1">
      <c r="A21" s="605">
        <f t="shared" si="15"/>
        <v>13</v>
      </c>
      <c r="B21" s="640"/>
      <c r="C21" s="649"/>
      <c r="D21" s="630"/>
      <c r="E21" s="631"/>
      <c r="F21" s="630"/>
      <c r="G21" s="626"/>
      <c r="H21" s="640"/>
      <c r="I21" s="649"/>
      <c r="J21" s="630"/>
      <c r="K21" s="631"/>
      <c r="L21" s="630"/>
      <c r="M21" s="627"/>
      <c r="N21" s="628"/>
      <c r="O21" s="629"/>
      <c r="P21" s="608">
        <f t="shared" si="0"/>
        <v>0</v>
      </c>
      <c r="Q21" s="600">
        <f t="shared" si="1"/>
        <v>2</v>
      </c>
      <c r="R21" s="601">
        <f t="shared" si="2"/>
        <v>0</v>
      </c>
      <c r="S21" s="602"/>
      <c r="T21" s="603">
        <f t="shared" si="3"/>
        <v>0</v>
      </c>
      <c r="U21" s="603">
        <f t="shared" si="4"/>
        <v>0</v>
      </c>
      <c r="V21" s="603">
        <f t="shared" si="5"/>
      </c>
      <c r="W21" s="603">
        <f t="shared" si="6"/>
        <v>0</v>
      </c>
      <c r="X21" s="603">
        <f t="shared" si="7"/>
      </c>
      <c r="Y21" s="603">
        <f t="shared" si="8"/>
      </c>
      <c r="Z21" s="603">
        <f t="shared" si="9"/>
      </c>
      <c r="AA21" s="603">
        <f t="shared" si="16"/>
        <v>0</v>
      </c>
      <c r="AB21" s="603">
        <f t="shared" si="10"/>
        <v>0</v>
      </c>
      <c r="AC21" s="603">
        <f t="shared" si="11"/>
      </c>
      <c r="AD21" s="603">
        <f t="shared" si="12"/>
        <v>0</v>
      </c>
      <c r="AE21" s="603">
        <f t="shared" si="13"/>
      </c>
      <c r="AF21" s="603">
        <f t="shared" si="14"/>
      </c>
      <c r="AG21" s="603">
        <f t="shared" si="17"/>
      </c>
      <c r="AH21" s="604" t="str">
        <f t="shared" si="18"/>
        <v> / </v>
      </c>
      <c r="AO21" s="257" t="s">
        <v>191</v>
      </c>
      <c r="AP21" s="257">
        <v>31323</v>
      </c>
      <c r="AQ21" s="257">
        <v>38405</v>
      </c>
      <c r="AR21" s="257" t="s">
        <v>175</v>
      </c>
      <c r="AS21" s="257"/>
    </row>
    <row r="22" spans="1:45" s="6" customFormat="1" ht="20.25" customHeight="1">
      <c r="A22" s="605">
        <f t="shared" si="15"/>
        <v>14</v>
      </c>
      <c r="B22" s="640"/>
      <c r="C22" s="649"/>
      <c r="D22" s="630"/>
      <c r="E22" s="631"/>
      <c r="F22" s="630"/>
      <c r="G22" s="626"/>
      <c r="H22" s="640"/>
      <c r="I22" s="649"/>
      <c r="J22" s="630"/>
      <c r="K22" s="631"/>
      <c r="L22" s="630"/>
      <c r="M22" s="627"/>
      <c r="N22" s="597"/>
      <c r="O22" s="598"/>
      <c r="P22" s="608">
        <f t="shared" si="0"/>
        <v>0</v>
      </c>
      <c r="Q22" s="600">
        <f t="shared" si="1"/>
        <v>2</v>
      </c>
      <c r="R22" s="601">
        <f t="shared" si="2"/>
        <v>0</v>
      </c>
      <c r="S22" s="602"/>
      <c r="T22" s="603">
        <f t="shared" si="3"/>
        <v>0</v>
      </c>
      <c r="U22" s="603">
        <f t="shared" si="4"/>
        <v>0</v>
      </c>
      <c r="V22" s="603">
        <f t="shared" si="5"/>
      </c>
      <c r="W22" s="603">
        <f t="shared" si="6"/>
        <v>0</v>
      </c>
      <c r="X22" s="603">
        <f t="shared" si="7"/>
      </c>
      <c r="Y22" s="603">
        <f t="shared" si="8"/>
      </c>
      <c r="Z22" s="603">
        <f t="shared" si="9"/>
      </c>
      <c r="AA22" s="603">
        <f t="shared" si="16"/>
        <v>0</v>
      </c>
      <c r="AB22" s="603">
        <f t="shared" si="10"/>
        <v>0</v>
      </c>
      <c r="AC22" s="603">
        <f t="shared" si="11"/>
      </c>
      <c r="AD22" s="603">
        <f t="shared" si="12"/>
        <v>0</v>
      </c>
      <c r="AE22" s="603">
        <f t="shared" si="13"/>
      </c>
      <c r="AF22" s="603">
        <f t="shared" si="14"/>
      </c>
      <c r="AG22" s="603">
        <f t="shared" si="17"/>
      </c>
      <c r="AH22" s="604" t="str">
        <f t="shared" si="18"/>
        <v> / </v>
      </c>
      <c r="AO22" s="257" t="s">
        <v>192</v>
      </c>
      <c r="AP22" s="257">
        <v>32747</v>
      </c>
      <c r="AQ22" s="257">
        <v>38306</v>
      </c>
      <c r="AR22" s="257" t="s">
        <v>175</v>
      </c>
      <c r="AS22" s="257"/>
    </row>
    <row r="23" spans="1:45" s="6" customFormat="1" ht="20.25" customHeight="1">
      <c r="A23" s="605">
        <f t="shared" si="15"/>
        <v>15</v>
      </c>
      <c r="B23" s="640"/>
      <c r="C23" s="649"/>
      <c r="D23" s="641"/>
      <c r="E23" s="648"/>
      <c r="F23" s="641"/>
      <c r="G23" s="642"/>
      <c r="H23" s="643"/>
      <c r="I23" s="649"/>
      <c r="J23" s="641"/>
      <c r="K23" s="648"/>
      <c r="L23" s="641"/>
      <c r="M23" s="646"/>
      <c r="N23" s="628"/>
      <c r="O23" s="629"/>
      <c r="P23" s="608">
        <f t="shared" si="0"/>
        <v>0</v>
      </c>
      <c r="Q23" s="600">
        <f t="shared" si="1"/>
        <v>2</v>
      </c>
      <c r="R23" s="601">
        <f t="shared" si="2"/>
        <v>0</v>
      </c>
      <c r="S23" s="602"/>
      <c r="T23" s="603">
        <f t="shared" si="3"/>
        <v>0</v>
      </c>
      <c r="U23" s="603">
        <f t="shared" si="4"/>
        <v>0</v>
      </c>
      <c r="V23" s="603">
        <f t="shared" si="5"/>
      </c>
      <c r="W23" s="603">
        <f t="shared" si="6"/>
        <v>0</v>
      </c>
      <c r="X23" s="603">
        <f t="shared" si="7"/>
      </c>
      <c r="Y23" s="603">
        <f t="shared" si="8"/>
      </c>
      <c r="Z23" s="603">
        <f t="shared" si="9"/>
      </c>
      <c r="AA23" s="603">
        <f t="shared" si="16"/>
        <v>0</v>
      </c>
      <c r="AB23" s="603">
        <f t="shared" si="10"/>
        <v>0</v>
      </c>
      <c r="AC23" s="603">
        <f t="shared" si="11"/>
      </c>
      <c r="AD23" s="603">
        <f t="shared" si="12"/>
        <v>0</v>
      </c>
      <c r="AE23" s="603">
        <f t="shared" si="13"/>
      </c>
      <c r="AF23" s="603">
        <f t="shared" si="14"/>
      </c>
      <c r="AG23" s="603">
        <f t="shared" si="17"/>
      </c>
      <c r="AH23" s="604" t="str">
        <f t="shared" si="18"/>
        <v> / </v>
      </c>
      <c r="AO23" s="257" t="s">
        <v>193</v>
      </c>
      <c r="AP23" s="257">
        <v>30693</v>
      </c>
      <c r="AQ23" s="257">
        <v>38140</v>
      </c>
      <c r="AR23" s="257" t="s">
        <v>209</v>
      </c>
      <c r="AS23" s="257"/>
    </row>
    <row r="24" spans="1:45" s="6" customFormat="1" ht="20.25" customHeight="1">
      <c r="A24" s="605">
        <f t="shared" si="15"/>
        <v>16</v>
      </c>
      <c r="B24" s="640"/>
      <c r="C24" s="649"/>
      <c r="D24" s="641"/>
      <c r="E24" s="648"/>
      <c r="F24" s="641"/>
      <c r="G24" s="642"/>
      <c r="H24" s="643"/>
      <c r="I24" s="649"/>
      <c r="J24" s="641"/>
      <c r="K24" s="648"/>
      <c r="L24" s="641"/>
      <c r="M24" s="646"/>
      <c r="N24" s="597"/>
      <c r="O24" s="598"/>
      <c r="P24" s="608">
        <f t="shared" si="0"/>
        <v>0</v>
      </c>
      <c r="Q24" s="600">
        <f t="shared" si="1"/>
        <v>2</v>
      </c>
      <c r="R24" s="601">
        <f t="shared" si="2"/>
        <v>0</v>
      </c>
      <c r="S24" s="602"/>
      <c r="T24" s="603">
        <f t="shared" si="3"/>
        <v>0</v>
      </c>
      <c r="U24" s="603">
        <f t="shared" si="4"/>
        <v>0</v>
      </c>
      <c r="V24" s="603">
        <f t="shared" si="5"/>
      </c>
      <c r="W24" s="603">
        <f t="shared" si="6"/>
        <v>0</v>
      </c>
      <c r="X24" s="603">
        <f t="shared" si="7"/>
      </c>
      <c r="Y24" s="603">
        <f t="shared" si="8"/>
      </c>
      <c r="Z24" s="603">
        <f t="shared" si="9"/>
      </c>
      <c r="AA24" s="603">
        <f t="shared" si="16"/>
        <v>0</v>
      </c>
      <c r="AB24" s="603">
        <f t="shared" si="10"/>
        <v>0</v>
      </c>
      <c r="AC24" s="603">
        <f t="shared" si="11"/>
      </c>
      <c r="AD24" s="603">
        <f t="shared" si="12"/>
        <v>0</v>
      </c>
      <c r="AE24" s="603">
        <f t="shared" si="13"/>
      </c>
      <c r="AF24" s="603">
        <f t="shared" si="14"/>
      </c>
      <c r="AG24" s="603">
        <f t="shared" si="17"/>
      </c>
      <c r="AH24" s="604" t="str">
        <f t="shared" si="18"/>
        <v> / </v>
      </c>
      <c r="AO24" s="257" t="s">
        <v>194</v>
      </c>
      <c r="AP24" s="257">
        <v>33587</v>
      </c>
      <c r="AQ24" s="257">
        <v>38710</v>
      </c>
      <c r="AR24" s="257" t="s">
        <v>175</v>
      </c>
      <c r="AS24" s="257"/>
    </row>
    <row r="25" spans="1:45" s="6" customFormat="1" ht="20.25" customHeight="1">
      <c r="A25" s="605">
        <f t="shared" si="15"/>
        <v>17</v>
      </c>
      <c r="B25" s="640"/>
      <c r="C25" s="649"/>
      <c r="D25" s="630"/>
      <c r="E25" s="631"/>
      <c r="F25" s="630"/>
      <c r="G25" s="626"/>
      <c r="H25" s="640"/>
      <c r="I25" s="649"/>
      <c r="J25" s="630"/>
      <c r="K25" s="631"/>
      <c r="L25" s="630"/>
      <c r="M25" s="627"/>
      <c r="N25" s="628"/>
      <c r="O25" s="629"/>
      <c r="P25" s="608">
        <f t="shared" si="0"/>
        <v>0</v>
      </c>
      <c r="Q25" s="600">
        <f t="shared" si="1"/>
        <v>2</v>
      </c>
      <c r="R25" s="601">
        <f t="shared" si="2"/>
        <v>0</v>
      </c>
      <c r="S25" s="602"/>
      <c r="T25" s="603">
        <f>LEN(C25)</f>
        <v>0</v>
      </c>
      <c r="U25" s="603">
        <f>IF((T25)=0,0,FIND(" ",C25))</f>
        <v>0</v>
      </c>
      <c r="V25" s="603">
        <f>IF(OR(ISERR(U25),T25=0),"",CONCATENATE(MID(C25,U25+1,1),"."))</f>
      </c>
      <c r="W25" s="603">
        <f>IF(LEN(C25)=0,0,FIND(" ",C25,U25+1))</f>
        <v>0</v>
      </c>
      <c r="X25" s="603">
        <f>IF(OR(T25=0,ISERR(W25)),"",CONCATENATE(MID(C25,W25+1,1),"."))</f>
      </c>
      <c r="Y25" s="603">
        <f>IF(C25="","",IF(ISERR(U25),UPPER(C25),UPPER(MID(C25,1,U25-1))))</f>
      </c>
      <c r="Z25" s="603">
        <f>CONCATENATE(V25,X25)</f>
      </c>
      <c r="AA25" s="603">
        <f>LEN(I25)</f>
        <v>0</v>
      </c>
      <c r="AB25" s="603">
        <f>IF((AA25)=0,0,FIND(" ",I25))</f>
        <v>0</v>
      </c>
      <c r="AC25" s="603">
        <f>IF(OR(ISERR(AB25),AA25=0),"",CONCATENATE(MID(I25,AB25+1,1),"."))</f>
      </c>
      <c r="AD25" s="603">
        <f>IF(LEN(I25)=0,0,FIND(" ",I25,AB25+1))</f>
        <v>0</v>
      </c>
      <c r="AE25" s="603">
        <f>IF(OR(AA25=0,ISERR(AD25)),"",CONCATENATE(MID(I25,AD25+1,1),"."))</f>
      </c>
      <c r="AF25" s="603">
        <f>IF(I25="","",IF(ISERR(AB25),UPPER(I25),UPPER(MID(I25,1,AB25-1))))</f>
      </c>
      <c r="AG25" s="603">
        <f>CONCATENATE(AC25,AE25)</f>
      </c>
      <c r="AH25" s="604" t="str">
        <f>CONCATENATE(Y25," / ",AF25)</f>
        <v> / </v>
      </c>
      <c r="AO25" s="257" t="s">
        <v>195</v>
      </c>
      <c r="AP25" s="257">
        <v>31482</v>
      </c>
      <c r="AQ25" s="257">
        <v>38184</v>
      </c>
      <c r="AR25" s="257" t="s">
        <v>175</v>
      </c>
      <c r="AS25" s="257"/>
    </row>
    <row r="26" spans="1:45" s="6" customFormat="1" ht="20.25" customHeight="1">
      <c r="A26" s="605">
        <f t="shared" si="15"/>
        <v>18</v>
      </c>
      <c r="B26" s="640"/>
      <c r="C26" s="649"/>
      <c r="D26" s="630"/>
      <c r="E26" s="631"/>
      <c r="F26" s="630"/>
      <c r="G26" s="626"/>
      <c r="H26" s="640"/>
      <c r="I26" s="649"/>
      <c r="J26" s="630"/>
      <c r="K26" s="631"/>
      <c r="L26" s="630"/>
      <c r="M26" s="627"/>
      <c r="N26" s="597"/>
      <c r="O26" s="598"/>
      <c r="P26" s="608">
        <f t="shared" si="0"/>
        <v>0</v>
      </c>
      <c r="Q26" s="600">
        <f t="shared" si="1"/>
        <v>2</v>
      </c>
      <c r="R26" s="601">
        <f t="shared" si="2"/>
        <v>0</v>
      </c>
      <c r="S26" s="602"/>
      <c r="T26" s="603">
        <f t="shared" si="3"/>
        <v>0</v>
      </c>
      <c r="U26" s="603">
        <f t="shared" si="4"/>
        <v>0</v>
      </c>
      <c r="V26" s="603">
        <f t="shared" si="5"/>
      </c>
      <c r="W26" s="603">
        <f t="shared" si="6"/>
        <v>0</v>
      </c>
      <c r="X26" s="603">
        <f t="shared" si="7"/>
      </c>
      <c r="Y26" s="603">
        <f t="shared" si="8"/>
      </c>
      <c r="Z26" s="603">
        <f t="shared" si="9"/>
      </c>
      <c r="AA26" s="603">
        <f t="shared" si="16"/>
        <v>0</v>
      </c>
      <c r="AB26" s="603">
        <f t="shared" si="10"/>
        <v>0</v>
      </c>
      <c r="AC26" s="603">
        <f t="shared" si="11"/>
      </c>
      <c r="AD26" s="603">
        <f t="shared" si="12"/>
        <v>0</v>
      </c>
      <c r="AE26" s="603">
        <f t="shared" si="13"/>
      </c>
      <c r="AF26" s="603">
        <f t="shared" si="14"/>
      </c>
      <c r="AG26" s="603">
        <f t="shared" si="17"/>
      </c>
      <c r="AH26" s="604" t="str">
        <f t="shared" si="18"/>
        <v> / </v>
      </c>
      <c r="AO26" s="257" t="s">
        <v>196</v>
      </c>
      <c r="AP26" s="257">
        <v>27705</v>
      </c>
      <c r="AQ26" s="257">
        <v>37737</v>
      </c>
      <c r="AR26" s="257" t="s">
        <v>207</v>
      </c>
      <c r="AS26" s="257"/>
    </row>
    <row r="27" spans="1:45" s="6" customFormat="1" ht="20.25" customHeight="1">
      <c r="A27" s="605">
        <f t="shared" si="15"/>
        <v>19</v>
      </c>
      <c r="B27" s="640"/>
      <c r="C27" s="649"/>
      <c r="D27" s="630"/>
      <c r="E27" s="631"/>
      <c r="F27" s="630"/>
      <c r="G27" s="626"/>
      <c r="H27" s="640"/>
      <c r="I27" s="649"/>
      <c r="J27" s="630"/>
      <c r="K27" s="631"/>
      <c r="L27" s="630"/>
      <c r="M27" s="627"/>
      <c r="N27" s="628"/>
      <c r="O27" s="629"/>
      <c r="P27" s="608">
        <f t="shared" si="0"/>
        <v>0</v>
      </c>
      <c r="Q27" s="600">
        <f t="shared" si="1"/>
        <v>2</v>
      </c>
      <c r="R27" s="601">
        <f t="shared" si="2"/>
        <v>0</v>
      </c>
      <c r="S27" s="602"/>
      <c r="T27" s="603">
        <f t="shared" si="3"/>
        <v>0</v>
      </c>
      <c r="U27" s="603">
        <f t="shared" si="4"/>
        <v>0</v>
      </c>
      <c r="V27" s="603">
        <f t="shared" si="5"/>
      </c>
      <c r="W27" s="603">
        <f t="shared" si="6"/>
        <v>0</v>
      </c>
      <c r="X27" s="603">
        <f t="shared" si="7"/>
      </c>
      <c r="Y27" s="603">
        <f t="shared" si="8"/>
      </c>
      <c r="Z27" s="603">
        <f t="shared" si="9"/>
      </c>
      <c r="AA27" s="603">
        <f t="shared" si="16"/>
        <v>0</v>
      </c>
      <c r="AB27" s="603">
        <f t="shared" si="10"/>
        <v>0</v>
      </c>
      <c r="AC27" s="603">
        <f t="shared" si="11"/>
      </c>
      <c r="AD27" s="603">
        <f t="shared" si="12"/>
        <v>0</v>
      </c>
      <c r="AE27" s="603">
        <f t="shared" si="13"/>
      </c>
      <c r="AF27" s="603">
        <f t="shared" si="14"/>
      </c>
      <c r="AG27" s="603">
        <f t="shared" si="17"/>
      </c>
      <c r="AH27" s="604" t="str">
        <f t="shared" si="18"/>
        <v> / </v>
      </c>
      <c r="AO27" s="517" t="s">
        <v>197</v>
      </c>
      <c r="AP27" s="517">
        <v>31641</v>
      </c>
      <c r="AQ27" s="517">
        <v>38619</v>
      </c>
      <c r="AR27" s="517" t="s">
        <v>175</v>
      </c>
      <c r="AS27" s="517"/>
    </row>
    <row r="28" spans="1:45" s="6" customFormat="1" ht="20.25" customHeight="1">
      <c r="A28" s="605">
        <f t="shared" si="15"/>
        <v>20</v>
      </c>
      <c r="B28" s="640"/>
      <c r="C28" s="649"/>
      <c r="D28" s="630"/>
      <c r="E28" s="631"/>
      <c r="F28" s="630"/>
      <c r="G28" s="626"/>
      <c r="H28" s="640"/>
      <c r="I28" s="649"/>
      <c r="J28" s="630"/>
      <c r="K28" s="631"/>
      <c r="L28" s="630"/>
      <c r="M28" s="627"/>
      <c r="N28" s="597"/>
      <c r="O28" s="598"/>
      <c r="P28" s="608">
        <f t="shared" si="0"/>
        <v>0</v>
      </c>
      <c r="Q28" s="600">
        <f t="shared" si="1"/>
        <v>2</v>
      </c>
      <c r="R28" s="601">
        <f t="shared" si="2"/>
        <v>0</v>
      </c>
      <c r="S28" s="602"/>
      <c r="T28" s="603">
        <f t="shared" si="3"/>
        <v>0</v>
      </c>
      <c r="U28" s="603">
        <f t="shared" si="4"/>
        <v>0</v>
      </c>
      <c r="V28" s="603">
        <f t="shared" si="5"/>
      </c>
      <c r="W28" s="603">
        <f t="shared" si="6"/>
        <v>0</v>
      </c>
      <c r="X28" s="603">
        <f t="shared" si="7"/>
      </c>
      <c r="Y28" s="603">
        <f t="shared" si="8"/>
      </c>
      <c r="Z28" s="603">
        <f t="shared" si="9"/>
      </c>
      <c r="AA28" s="603">
        <f t="shared" si="16"/>
        <v>0</v>
      </c>
      <c r="AB28" s="603">
        <f t="shared" si="10"/>
        <v>0</v>
      </c>
      <c r="AC28" s="603">
        <f t="shared" si="11"/>
      </c>
      <c r="AD28" s="603">
        <f t="shared" si="12"/>
        <v>0</v>
      </c>
      <c r="AE28" s="603">
        <f t="shared" si="13"/>
      </c>
      <c r="AF28" s="603">
        <f t="shared" si="14"/>
      </c>
      <c r="AG28" s="603">
        <f t="shared" si="17"/>
      </c>
      <c r="AH28" s="604" t="str">
        <f t="shared" si="18"/>
        <v> / </v>
      </c>
      <c r="AO28" s="517" t="s">
        <v>198</v>
      </c>
      <c r="AP28" s="517">
        <v>30464</v>
      </c>
      <c r="AQ28" s="517">
        <v>38299</v>
      </c>
      <c r="AR28" s="517" t="s">
        <v>207</v>
      </c>
      <c r="AS28" s="517"/>
    </row>
    <row r="29" spans="1:45" s="6" customFormat="1" ht="20.25" customHeight="1">
      <c r="A29" s="605">
        <f t="shared" si="15"/>
        <v>21</v>
      </c>
      <c r="B29" s="640"/>
      <c r="C29" s="649"/>
      <c r="D29" s="630"/>
      <c r="E29" s="631"/>
      <c r="F29" s="630"/>
      <c r="G29" s="626"/>
      <c r="H29" s="640"/>
      <c r="I29" s="649"/>
      <c r="J29" s="630"/>
      <c r="K29" s="631"/>
      <c r="L29" s="630"/>
      <c r="M29" s="627"/>
      <c r="N29" s="628"/>
      <c r="O29" s="629"/>
      <c r="P29" s="608">
        <f t="shared" si="0"/>
        <v>0</v>
      </c>
      <c r="Q29" s="600">
        <f t="shared" si="1"/>
        <v>2</v>
      </c>
      <c r="R29" s="601">
        <f t="shared" si="2"/>
        <v>0</v>
      </c>
      <c r="S29" s="602"/>
      <c r="T29" s="603">
        <f>LEN(C29)</f>
        <v>0</v>
      </c>
      <c r="U29" s="603">
        <f>IF((T29)=0,0,FIND(" ",C29))</f>
        <v>0</v>
      </c>
      <c r="V29" s="603">
        <f>IF(OR(ISERR(U29),T29=0),"",CONCATENATE(MID(C29,U29+1,1),"."))</f>
      </c>
      <c r="W29" s="603">
        <f>IF(LEN(C29)=0,0,FIND(" ",C29,U29+1))</f>
        <v>0</v>
      </c>
      <c r="X29" s="603">
        <f>IF(OR(T29=0,ISERR(W29)),"",CONCATENATE(MID(C29,W29+1,1),"."))</f>
      </c>
      <c r="Y29" s="603">
        <f>IF(C29="","",IF(ISERR(U29),UPPER(C29),UPPER(MID(C29,1,U29-1))))</f>
      </c>
      <c r="Z29" s="603">
        <f t="shared" si="9"/>
      </c>
      <c r="AA29" s="603">
        <f>LEN(I29)</f>
        <v>0</v>
      </c>
      <c r="AB29" s="603">
        <f>IF((AA29)=0,0,FIND(" ",I29))</f>
        <v>0</v>
      </c>
      <c r="AC29" s="603">
        <f>IF(OR(ISERR(AB29),AA29=0),"",CONCATENATE(MID(I29,AB29+1,1),"."))</f>
      </c>
      <c r="AD29" s="603">
        <f>IF(LEN(I29)=0,0,FIND(" ",I29,AB29+1))</f>
        <v>0</v>
      </c>
      <c r="AE29" s="603">
        <f>IF(OR(AA29=0,ISERR(AD29)),"",CONCATENATE(MID(I29,AD29+1,1),"."))</f>
      </c>
      <c r="AF29" s="603">
        <f>IF(I29="","",IF(ISERR(AB29),UPPER(I29),UPPER(MID(I29,1,AB29-1))))</f>
      </c>
      <c r="AG29" s="603">
        <f t="shared" si="17"/>
      </c>
      <c r="AH29" s="604" t="str">
        <f t="shared" si="18"/>
        <v> / </v>
      </c>
      <c r="AO29" s="257" t="s">
        <v>199</v>
      </c>
      <c r="AP29" s="257">
        <v>30039</v>
      </c>
      <c r="AQ29" s="257">
        <v>38036</v>
      </c>
      <c r="AR29" s="257" t="s">
        <v>175</v>
      </c>
      <c r="AS29" s="257"/>
    </row>
    <row r="30" spans="1:45" s="6" customFormat="1" ht="20.25" customHeight="1">
      <c r="A30" s="605">
        <f t="shared" si="15"/>
        <v>22</v>
      </c>
      <c r="B30" s="640"/>
      <c r="C30" s="649"/>
      <c r="D30" s="630"/>
      <c r="E30" s="631"/>
      <c r="F30" s="630"/>
      <c r="G30" s="626"/>
      <c r="H30" s="640"/>
      <c r="I30" s="649"/>
      <c r="J30" s="630"/>
      <c r="K30" s="631"/>
      <c r="L30" s="630"/>
      <c r="M30" s="627"/>
      <c r="N30" s="597"/>
      <c r="O30" s="598"/>
      <c r="P30" s="608">
        <f t="shared" si="0"/>
        <v>0</v>
      </c>
      <c r="Q30" s="600">
        <f t="shared" si="1"/>
        <v>2</v>
      </c>
      <c r="R30" s="601">
        <f t="shared" si="2"/>
        <v>0</v>
      </c>
      <c r="S30" s="602"/>
      <c r="T30" s="603">
        <f>LEN(C30)</f>
        <v>0</v>
      </c>
      <c r="U30" s="603">
        <f>IF((T30)=0,0,FIND(" ",C30))</f>
        <v>0</v>
      </c>
      <c r="V30" s="603">
        <f>IF(OR(ISERR(U30),T30=0),"",CONCATENATE(MID(C30,U30+1,1),"."))</f>
      </c>
      <c r="W30" s="603">
        <f>IF(LEN(C30)=0,0,FIND(" ",C30,U30+1))</f>
        <v>0</v>
      </c>
      <c r="X30" s="603">
        <f>IF(OR(T30=0,ISERR(W30)),"",CONCATENATE(MID(C30,W30+1,1),"."))</f>
      </c>
      <c r="Y30" s="603">
        <f>IF(C30="","",IF(ISERR(U30),UPPER(C30),UPPER(MID(C30,1,U30-1))))</f>
      </c>
      <c r="Z30" s="603">
        <f t="shared" si="9"/>
      </c>
      <c r="AA30" s="603">
        <f>LEN(I30)</f>
        <v>0</v>
      </c>
      <c r="AB30" s="603">
        <f>IF((AA30)=0,0,FIND(" ",I30))</f>
        <v>0</v>
      </c>
      <c r="AC30" s="603">
        <f>IF(OR(ISERR(AB30),AA30=0),"",CONCATENATE(MID(I30,AB30+1,1),"."))</f>
      </c>
      <c r="AD30" s="603">
        <f>IF(LEN(I30)=0,0,FIND(" ",I30,AB30+1))</f>
        <v>0</v>
      </c>
      <c r="AE30" s="603">
        <f>IF(OR(AA30=0,ISERR(AD30)),"",CONCATENATE(MID(I30,AD30+1,1),"."))</f>
      </c>
      <c r="AF30" s="603">
        <f>IF(I30="","",IF(ISERR(AB30),UPPER(I30),UPPER(MID(I30,1,AB30-1))))</f>
      </c>
      <c r="AG30" s="603">
        <f t="shared" si="17"/>
      </c>
      <c r="AH30" s="604" t="str">
        <f t="shared" si="18"/>
        <v> / </v>
      </c>
      <c r="AO30" s="257" t="s">
        <v>200</v>
      </c>
      <c r="AP30" s="257">
        <v>33440</v>
      </c>
      <c r="AQ30" s="257">
        <v>38889</v>
      </c>
      <c r="AR30" s="257" t="s">
        <v>207</v>
      </c>
      <c r="AS30" s="257"/>
    </row>
    <row r="31" spans="1:45" s="6" customFormat="1" ht="20.25" customHeight="1">
      <c r="A31" s="605">
        <f t="shared" si="15"/>
        <v>23</v>
      </c>
      <c r="B31" s="640"/>
      <c r="C31" s="649"/>
      <c r="D31" s="630"/>
      <c r="E31" s="631"/>
      <c r="F31" s="630"/>
      <c r="G31" s="626"/>
      <c r="H31" s="640"/>
      <c r="I31" s="649"/>
      <c r="J31" s="630"/>
      <c r="K31" s="631"/>
      <c r="L31" s="630"/>
      <c r="M31" s="627"/>
      <c r="N31" s="628"/>
      <c r="O31" s="629"/>
      <c r="P31" s="608">
        <f t="shared" si="0"/>
        <v>0</v>
      </c>
      <c r="Q31" s="600">
        <f t="shared" si="1"/>
        <v>2</v>
      </c>
      <c r="R31" s="601">
        <f t="shared" si="2"/>
        <v>0</v>
      </c>
      <c r="S31" s="602"/>
      <c r="T31" s="603">
        <f t="shared" si="3"/>
        <v>0</v>
      </c>
      <c r="U31" s="603">
        <f t="shared" si="4"/>
        <v>0</v>
      </c>
      <c r="V31" s="603">
        <f t="shared" si="5"/>
      </c>
      <c r="W31" s="603">
        <f t="shared" si="6"/>
        <v>0</v>
      </c>
      <c r="X31" s="603">
        <f t="shared" si="7"/>
      </c>
      <c r="Y31" s="603">
        <f t="shared" si="8"/>
      </c>
      <c r="Z31" s="603">
        <f t="shared" si="9"/>
      </c>
      <c r="AA31" s="603">
        <f t="shared" si="16"/>
        <v>0</v>
      </c>
      <c r="AB31" s="603">
        <f t="shared" si="10"/>
        <v>0</v>
      </c>
      <c r="AC31" s="603">
        <f t="shared" si="11"/>
      </c>
      <c r="AD31" s="603">
        <f t="shared" si="12"/>
        <v>0</v>
      </c>
      <c r="AE31" s="603">
        <f t="shared" si="13"/>
      </c>
      <c r="AF31" s="603">
        <f t="shared" si="14"/>
      </c>
      <c r="AG31" s="603">
        <f t="shared" si="17"/>
      </c>
      <c r="AH31" s="604" t="str">
        <f t="shared" si="18"/>
        <v> / </v>
      </c>
      <c r="AO31" s="257" t="s">
        <v>201</v>
      </c>
      <c r="AP31" s="257">
        <v>30071</v>
      </c>
      <c r="AQ31" s="257">
        <v>38032</v>
      </c>
      <c r="AR31" s="257" t="s">
        <v>175</v>
      </c>
      <c r="AS31" s="257"/>
    </row>
    <row r="32" spans="1:45" s="6" customFormat="1" ht="20.25" customHeight="1">
      <c r="A32" s="605">
        <f t="shared" si="15"/>
        <v>24</v>
      </c>
      <c r="B32" s="639"/>
      <c r="C32" s="649"/>
      <c r="D32" s="624"/>
      <c r="E32" s="625"/>
      <c r="F32" s="624"/>
      <c r="G32" s="626"/>
      <c r="H32" s="639"/>
      <c r="I32" s="649"/>
      <c r="J32" s="624"/>
      <c r="K32" s="625"/>
      <c r="L32" s="624"/>
      <c r="M32" s="627"/>
      <c r="N32" s="597"/>
      <c r="O32" s="598"/>
      <c r="P32" s="608">
        <f t="shared" si="0"/>
        <v>0</v>
      </c>
      <c r="Q32" s="600">
        <f t="shared" si="1"/>
        <v>2</v>
      </c>
      <c r="R32" s="601">
        <f t="shared" si="2"/>
        <v>0</v>
      </c>
      <c r="S32" s="602"/>
      <c r="T32" s="603">
        <f t="shared" si="3"/>
        <v>0</v>
      </c>
      <c r="U32" s="603">
        <f t="shared" si="4"/>
        <v>0</v>
      </c>
      <c r="V32" s="603">
        <f t="shared" si="5"/>
      </c>
      <c r="W32" s="603">
        <f t="shared" si="6"/>
        <v>0</v>
      </c>
      <c r="X32" s="603">
        <f t="shared" si="7"/>
      </c>
      <c r="Y32" s="603">
        <f t="shared" si="8"/>
      </c>
      <c r="Z32" s="603">
        <f t="shared" si="9"/>
      </c>
      <c r="AA32" s="603">
        <f t="shared" si="16"/>
        <v>0</v>
      </c>
      <c r="AB32" s="603">
        <f t="shared" si="10"/>
        <v>0</v>
      </c>
      <c r="AC32" s="603">
        <f t="shared" si="11"/>
      </c>
      <c r="AD32" s="603">
        <f t="shared" si="12"/>
        <v>0</v>
      </c>
      <c r="AE32" s="603">
        <f t="shared" si="13"/>
      </c>
      <c r="AF32" s="603">
        <f t="shared" si="14"/>
      </c>
      <c r="AG32" s="603">
        <f t="shared" si="17"/>
      </c>
      <c r="AH32" s="604" t="str">
        <f t="shared" si="18"/>
        <v> / </v>
      </c>
      <c r="AO32" s="257" t="s">
        <v>202</v>
      </c>
      <c r="AP32" s="257">
        <v>28146</v>
      </c>
      <c r="AQ32" s="257">
        <v>37952</v>
      </c>
      <c r="AR32" s="257" t="s">
        <v>207</v>
      </c>
      <c r="AS32" s="257"/>
    </row>
    <row r="33" spans="1:45" s="6" customFormat="1" ht="20.25" customHeight="1">
      <c r="A33" s="605">
        <f t="shared" si="15"/>
        <v>25</v>
      </c>
      <c r="B33" s="640"/>
      <c r="C33" s="649"/>
      <c r="D33" s="630"/>
      <c r="E33" s="631"/>
      <c r="F33" s="630"/>
      <c r="G33" s="626"/>
      <c r="H33" s="640"/>
      <c r="I33" s="649"/>
      <c r="J33" s="630"/>
      <c r="K33" s="631"/>
      <c r="L33" s="630"/>
      <c r="M33" s="627"/>
      <c r="N33" s="628"/>
      <c r="O33" s="629"/>
      <c r="P33" s="608">
        <f t="shared" si="0"/>
        <v>0</v>
      </c>
      <c r="Q33" s="600">
        <f t="shared" si="1"/>
        <v>2</v>
      </c>
      <c r="R33" s="601">
        <f t="shared" si="2"/>
        <v>0</v>
      </c>
      <c r="S33" s="602"/>
      <c r="T33" s="603">
        <f t="shared" si="3"/>
        <v>0</v>
      </c>
      <c r="U33" s="603">
        <f t="shared" si="4"/>
        <v>0</v>
      </c>
      <c r="V33" s="603">
        <f t="shared" si="5"/>
      </c>
      <c r="W33" s="603">
        <f t="shared" si="6"/>
        <v>0</v>
      </c>
      <c r="X33" s="603">
        <f t="shared" si="7"/>
      </c>
      <c r="Y33" s="603">
        <f t="shared" si="8"/>
      </c>
      <c r="Z33" s="603">
        <f t="shared" si="9"/>
      </c>
      <c r="AA33" s="603">
        <f t="shared" si="16"/>
        <v>0</v>
      </c>
      <c r="AB33" s="603">
        <f t="shared" si="10"/>
        <v>0</v>
      </c>
      <c r="AC33" s="603">
        <f t="shared" si="11"/>
      </c>
      <c r="AD33" s="603">
        <f t="shared" si="12"/>
        <v>0</v>
      </c>
      <c r="AE33" s="603">
        <f t="shared" si="13"/>
      </c>
      <c r="AF33" s="603">
        <f t="shared" si="14"/>
      </c>
      <c r="AG33" s="603">
        <f t="shared" si="17"/>
      </c>
      <c r="AH33" s="604" t="str">
        <f t="shared" si="18"/>
        <v> / </v>
      </c>
      <c r="AO33" s="257" t="s">
        <v>203</v>
      </c>
      <c r="AP33" s="257">
        <v>27227</v>
      </c>
      <c r="AQ33" s="257">
        <v>37682</v>
      </c>
      <c r="AR33" s="257" t="s">
        <v>206</v>
      </c>
      <c r="AS33" s="257"/>
    </row>
    <row r="34" spans="1:45" s="6" customFormat="1" ht="20.25" customHeight="1">
      <c r="A34" s="605">
        <f t="shared" si="15"/>
        <v>26</v>
      </c>
      <c r="B34" s="640"/>
      <c r="C34" s="649"/>
      <c r="D34" s="630"/>
      <c r="E34" s="631"/>
      <c r="F34" s="630"/>
      <c r="G34" s="626"/>
      <c r="H34" s="640"/>
      <c r="I34" s="649"/>
      <c r="J34" s="630"/>
      <c r="K34" s="631"/>
      <c r="L34" s="630"/>
      <c r="M34" s="627"/>
      <c r="N34" s="597"/>
      <c r="O34" s="598"/>
      <c r="P34" s="608">
        <f t="shared" si="0"/>
        <v>0</v>
      </c>
      <c r="Q34" s="600">
        <f t="shared" si="1"/>
        <v>2</v>
      </c>
      <c r="R34" s="601">
        <f t="shared" si="2"/>
        <v>0</v>
      </c>
      <c r="S34" s="602"/>
      <c r="T34" s="603">
        <f t="shared" si="3"/>
        <v>0</v>
      </c>
      <c r="U34" s="603">
        <f t="shared" si="4"/>
        <v>0</v>
      </c>
      <c r="V34" s="603">
        <f t="shared" si="5"/>
      </c>
      <c r="W34" s="603">
        <f t="shared" si="6"/>
        <v>0</v>
      </c>
      <c r="X34" s="603">
        <f t="shared" si="7"/>
      </c>
      <c r="Y34" s="603">
        <f t="shared" si="8"/>
      </c>
      <c r="Z34" s="603">
        <f t="shared" si="9"/>
      </c>
      <c r="AA34" s="603">
        <f t="shared" si="16"/>
        <v>0</v>
      </c>
      <c r="AB34" s="603">
        <f t="shared" si="10"/>
        <v>0</v>
      </c>
      <c r="AC34" s="603">
        <f t="shared" si="11"/>
      </c>
      <c r="AD34" s="603">
        <f t="shared" si="12"/>
        <v>0</v>
      </c>
      <c r="AE34" s="603">
        <f t="shared" si="13"/>
      </c>
      <c r="AF34" s="603">
        <f t="shared" si="14"/>
      </c>
      <c r="AG34" s="603">
        <f t="shared" si="17"/>
      </c>
      <c r="AH34" s="604" t="str">
        <f t="shared" si="18"/>
        <v> / </v>
      </c>
      <c r="AO34" s="257" t="s">
        <v>204</v>
      </c>
      <c r="AP34" s="257">
        <v>32195</v>
      </c>
      <c r="AQ34" s="257">
        <v>38151</v>
      </c>
      <c r="AR34" s="257" t="s">
        <v>175</v>
      </c>
      <c r="AS34" s="257"/>
    </row>
    <row r="35" spans="1:45" s="6" customFormat="1" ht="20.25" customHeight="1">
      <c r="A35" s="605">
        <f t="shared" si="15"/>
        <v>27</v>
      </c>
      <c r="B35" s="640"/>
      <c r="C35" s="649"/>
      <c r="D35" s="630"/>
      <c r="E35" s="631"/>
      <c r="F35" s="630"/>
      <c r="G35" s="626"/>
      <c r="H35" s="640"/>
      <c r="I35" s="649"/>
      <c r="J35" s="630"/>
      <c r="K35" s="631"/>
      <c r="L35" s="630"/>
      <c r="M35" s="627"/>
      <c r="N35" s="628"/>
      <c r="O35" s="629"/>
      <c r="P35" s="608">
        <f t="shared" si="0"/>
        <v>0</v>
      </c>
      <c r="Q35" s="600">
        <f t="shared" si="1"/>
        <v>2</v>
      </c>
      <c r="R35" s="601">
        <f t="shared" si="2"/>
        <v>0</v>
      </c>
      <c r="S35" s="602"/>
      <c r="T35" s="603">
        <f t="shared" si="3"/>
        <v>0</v>
      </c>
      <c r="U35" s="603">
        <f t="shared" si="4"/>
        <v>0</v>
      </c>
      <c r="V35" s="603">
        <f t="shared" si="5"/>
      </c>
      <c r="W35" s="603">
        <f t="shared" si="6"/>
        <v>0</v>
      </c>
      <c r="X35" s="603">
        <f t="shared" si="7"/>
      </c>
      <c r="Y35" s="603">
        <f t="shared" si="8"/>
      </c>
      <c r="Z35" s="603">
        <f t="shared" si="9"/>
      </c>
      <c r="AA35" s="603">
        <f t="shared" si="16"/>
        <v>0</v>
      </c>
      <c r="AB35" s="603">
        <f t="shared" si="10"/>
        <v>0</v>
      </c>
      <c r="AC35" s="603">
        <f t="shared" si="11"/>
      </c>
      <c r="AD35" s="603">
        <f t="shared" si="12"/>
        <v>0</v>
      </c>
      <c r="AE35" s="603">
        <f t="shared" si="13"/>
      </c>
      <c r="AF35" s="603">
        <f t="shared" si="14"/>
      </c>
      <c r="AG35" s="603">
        <f t="shared" si="17"/>
      </c>
      <c r="AH35" s="604" t="str">
        <f t="shared" si="18"/>
        <v> / </v>
      </c>
      <c r="AO35" s="257" t="s">
        <v>205</v>
      </c>
      <c r="AP35" s="257">
        <v>29110</v>
      </c>
      <c r="AQ35" s="257">
        <v>38025</v>
      </c>
      <c r="AR35" s="257" t="s">
        <v>209</v>
      </c>
      <c r="AS35" s="257"/>
    </row>
    <row r="36" spans="1:45" s="6" customFormat="1" ht="20.25" customHeight="1">
      <c r="A36" s="605">
        <f t="shared" si="15"/>
        <v>28</v>
      </c>
      <c r="B36" s="640"/>
      <c r="C36" s="649"/>
      <c r="D36" s="630"/>
      <c r="E36" s="631"/>
      <c r="F36" s="630"/>
      <c r="G36" s="626"/>
      <c r="H36" s="640"/>
      <c r="I36" s="649"/>
      <c r="J36" s="630"/>
      <c r="K36" s="631"/>
      <c r="L36" s="630"/>
      <c r="M36" s="627"/>
      <c r="N36" s="628"/>
      <c r="O36" s="629"/>
      <c r="P36" s="608">
        <f t="shared" si="0"/>
        <v>0</v>
      </c>
      <c r="Q36" s="600">
        <f t="shared" si="1"/>
        <v>2</v>
      </c>
      <c r="R36" s="601">
        <f t="shared" si="2"/>
        <v>0</v>
      </c>
      <c r="S36" s="602"/>
      <c r="T36" s="603">
        <f t="shared" si="3"/>
        <v>0</v>
      </c>
      <c r="U36" s="603">
        <f t="shared" si="4"/>
        <v>0</v>
      </c>
      <c r="V36" s="603">
        <f t="shared" si="5"/>
      </c>
      <c r="W36" s="603">
        <f t="shared" si="6"/>
        <v>0</v>
      </c>
      <c r="X36" s="603">
        <f t="shared" si="7"/>
      </c>
      <c r="Y36" s="603">
        <f t="shared" si="8"/>
      </c>
      <c r="Z36" s="603">
        <f t="shared" si="9"/>
      </c>
      <c r="AA36" s="603">
        <f t="shared" si="16"/>
        <v>0</v>
      </c>
      <c r="AB36" s="603">
        <f t="shared" si="10"/>
        <v>0</v>
      </c>
      <c r="AC36" s="603">
        <f t="shared" si="11"/>
      </c>
      <c r="AD36" s="603">
        <f t="shared" si="12"/>
        <v>0</v>
      </c>
      <c r="AE36" s="603">
        <f t="shared" si="13"/>
      </c>
      <c r="AF36" s="603">
        <f t="shared" si="14"/>
      </c>
      <c r="AG36" s="603">
        <f t="shared" si="17"/>
      </c>
      <c r="AH36" s="604" t="str">
        <f t="shared" si="18"/>
        <v> / </v>
      </c>
      <c r="AO36" s="257"/>
      <c r="AP36" s="257"/>
      <c r="AQ36" s="257"/>
      <c r="AR36" s="257"/>
      <c r="AS36" s="257"/>
    </row>
    <row r="37" spans="1:45" s="6" customFormat="1" ht="20.25" customHeight="1">
      <c r="A37" s="605">
        <f t="shared" si="15"/>
        <v>29</v>
      </c>
      <c r="B37" s="640"/>
      <c r="C37" s="649"/>
      <c r="D37" s="630"/>
      <c r="E37" s="631"/>
      <c r="F37" s="630"/>
      <c r="G37" s="626"/>
      <c r="H37" s="640"/>
      <c r="I37" s="649"/>
      <c r="J37" s="630"/>
      <c r="K37" s="631"/>
      <c r="L37" s="630"/>
      <c r="M37" s="627"/>
      <c r="N37" s="628"/>
      <c r="O37" s="629"/>
      <c r="P37" s="608">
        <f t="shared" si="0"/>
        <v>0</v>
      </c>
      <c r="Q37" s="600">
        <f t="shared" si="1"/>
        <v>2</v>
      </c>
      <c r="R37" s="601">
        <f t="shared" si="2"/>
        <v>0</v>
      </c>
      <c r="S37" s="602"/>
      <c r="T37" s="603">
        <f t="shared" si="3"/>
        <v>0</v>
      </c>
      <c r="U37" s="603">
        <f t="shared" si="4"/>
        <v>0</v>
      </c>
      <c r="V37" s="603">
        <f t="shared" si="5"/>
      </c>
      <c r="W37" s="603">
        <f t="shared" si="6"/>
        <v>0</v>
      </c>
      <c r="X37" s="603">
        <f t="shared" si="7"/>
      </c>
      <c r="Y37" s="603">
        <f t="shared" si="8"/>
      </c>
      <c r="Z37" s="603">
        <f t="shared" si="9"/>
      </c>
      <c r="AA37" s="603">
        <f t="shared" si="16"/>
        <v>0</v>
      </c>
      <c r="AB37" s="603">
        <f t="shared" si="10"/>
        <v>0</v>
      </c>
      <c r="AC37" s="603">
        <f t="shared" si="11"/>
      </c>
      <c r="AD37" s="603">
        <f t="shared" si="12"/>
        <v>0</v>
      </c>
      <c r="AE37" s="603">
        <f t="shared" si="13"/>
      </c>
      <c r="AF37" s="603">
        <f t="shared" si="14"/>
      </c>
      <c r="AG37" s="603">
        <f t="shared" si="17"/>
      </c>
      <c r="AH37" s="604" t="str">
        <f t="shared" si="18"/>
        <v> / </v>
      </c>
      <c r="AO37" s="257"/>
      <c r="AP37" s="257"/>
      <c r="AQ37" s="257"/>
      <c r="AR37" s="257"/>
      <c r="AS37" s="257"/>
    </row>
    <row r="38" spans="1:45" s="6" customFormat="1" ht="20.25" customHeight="1">
      <c r="A38" s="605">
        <f t="shared" si="15"/>
        <v>30</v>
      </c>
      <c r="B38" s="640"/>
      <c r="C38" s="649"/>
      <c r="D38" s="630"/>
      <c r="E38" s="631"/>
      <c r="F38" s="630"/>
      <c r="G38" s="626"/>
      <c r="H38" s="640"/>
      <c r="I38" s="649"/>
      <c r="J38" s="630"/>
      <c r="K38" s="631"/>
      <c r="L38" s="630"/>
      <c r="M38" s="627"/>
      <c r="N38" s="628"/>
      <c r="O38" s="629"/>
      <c r="P38" s="608">
        <f t="shared" si="0"/>
        <v>0</v>
      </c>
      <c r="Q38" s="600">
        <f t="shared" si="1"/>
        <v>2</v>
      </c>
      <c r="R38" s="601">
        <f t="shared" si="2"/>
        <v>0</v>
      </c>
      <c r="S38" s="602"/>
      <c r="T38" s="603">
        <f t="shared" si="3"/>
        <v>0</v>
      </c>
      <c r="U38" s="603">
        <f t="shared" si="4"/>
        <v>0</v>
      </c>
      <c r="V38" s="603">
        <f t="shared" si="5"/>
      </c>
      <c r="W38" s="603">
        <f t="shared" si="6"/>
        <v>0</v>
      </c>
      <c r="X38" s="603">
        <f t="shared" si="7"/>
      </c>
      <c r="Y38" s="603">
        <f t="shared" si="8"/>
      </c>
      <c r="Z38" s="603">
        <f t="shared" si="9"/>
      </c>
      <c r="AA38" s="603">
        <f t="shared" si="16"/>
        <v>0</v>
      </c>
      <c r="AB38" s="603">
        <f t="shared" si="10"/>
        <v>0</v>
      </c>
      <c r="AC38" s="603">
        <f t="shared" si="11"/>
      </c>
      <c r="AD38" s="603">
        <f t="shared" si="12"/>
        <v>0</v>
      </c>
      <c r="AE38" s="603">
        <f t="shared" si="13"/>
      </c>
      <c r="AF38" s="603">
        <f t="shared" si="14"/>
      </c>
      <c r="AG38" s="603">
        <f t="shared" si="17"/>
      </c>
      <c r="AH38" s="604" t="str">
        <f t="shared" si="18"/>
        <v> / </v>
      </c>
      <c r="AO38" s="257"/>
      <c r="AP38" s="257"/>
      <c r="AQ38" s="257"/>
      <c r="AR38" s="257"/>
      <c r="AS38" s="257"/>
    </row>
    <row r="39" spans="1:45" s="6" customFormat="1" ht="20.25" customHeight="1">
      <c r="A39" s="605">
        <f t="shared" si="15"/>
        <v>31</v>
      </c>
      <c r="B39" s="640"/>
      <c r="C39" s="649"/>
      <c r="D39" s="606"/>
      <c r="E39" s="607"/>
      <c r="F39" s="606"/>
      <c r="G39" s="595"/>
      <c r="H39" s="644"/>
      <c r="I39" s="650"/>
      <c r="J39" s="606"/>
      <c r="K39" s="607"/>
      <c r="L39" s="606"/>
      <c r="M39" s="596"/>
      <c r="N39" s="597"/>
      <c r="O39" s="598"/>
      <c r="P39" s="608">
        <f t="shared" si="0"/>
        <v>0</v>
      </c>
      <c r="Q39" s="600">
        <f t="shared" si="1"/>
        <v>2</v>
      </c>
      <c r="R39" s="601">
        <f t="shared" si="2"/>
        <v>0</v>
      </c>
      <c r="S39" s="602"/>
      <c r="T39" s="603">
        <f t="shared" si="3"/>
        <v>0</v>
      </c>
      <c r="U39" s="603">
        <f t="shared" si="4"/>
        <v>0</v>
      </c>
      <c r="V39" s="603">
        <f t="shared" si="5"/>
      </c>
      <c r="W39" s="603">
        <f t="shared" si="6"/>
        <v>0</v>
      </c>
      <c r="X39" s="603">
        <f t="shared" si="7"/>
      </c>
      <c r="Y39" s="603">
        <f t="shared" si="8"/>
      </c>
      <c r="Z39" s="603">
        <f t="shared" si="9"/>
      </c>
      <c r="AA39" s="603">
        <f t="shared" si="16"/>
        <v>0</v>
      </c>
      <c r="AB39" s="603">
        <f t="shared" si="10"/>
        <v>0</v>
      </c>
      <c r="AC39" s="603">
        <f t="shared" si="11"/>
      </c>
      <c r="AD39" s="603">
        <f t="shared" si="12"/>
        <v>0</v>
      </c>
      <c r="AE39" s="603">
        <f t="shared" si="13"/>
      </c>
      <c r="AF39" s="603">
        <f t="shared" si="14"/>
      </c>
      <c r="AG39" s="603">
        <f t="shared" si="17"/>
      </c>
      <c r="AH39" s="604" t="str">
        <f t="shared" si="18"/>
        <v> / </v>
      </c>
      <c r="AO39" s="257"/>
      <c r="AP39" s="257"/>
      <c r="AQ39" s="257"/>
      <c r="AR39" s="257"/>
      <c r="AS39" s="257"/>
    </row>
    <row r="40" spans="1:45" s="6" customFormat="1" ht="20.25" customHeight="1">
      <c r="A40" s="605">
        <f t="shared" si="15"/>
        <v>32</v>
      </c>
      <c r="B40" s="640"/>
      <c r="C40" s="649"/>
      <c r="D40" s="630"/>
      <c r="E40" s="631"/>
      <c r="F40" s="630"/>
      <c r="G40" s="626"/>
      <c r="H40" s="640"/>
      <c r="I40" s="649"/>
      <c r="J40" s="630"/>
      <c r="K40" s="631"/>
      <c r="L40" s="630"/>
      <c r="M40" s="627"/>
      <c r="N40" s="628"/>
      <c r="O40" s="629"/>
      <c r="P40" s="608">
        <f t="shared" si="0"/>
        <v>0</v>
      </c>
      <c r="Q40" s="600">
        <f t="shared" si="1"/>
        <v>2</v>
      </c>
      <c r="R40" s="601">
        <f t="shared" si="2"/>
        <v>0</v>
      </c>
      <c r="S40" s="602"/>
      <c r="T40" s="603">
        <f t="shared" si="3"/>
        <v>0</v>
      </c>
      <c r="U40" s="603">
        <f t="shared" si="4"/>
        <v>0</v>
      </c>
      <c r="V40" s="603">
        <f t="shared" si="5"/>
      </c>
      <c r="W40" s="603">
        <f t="shared" si="6"/>
        <v>0</v>
      </c>
      <c r="X40" s="603">
        <f t="shared" si="7"/>
      </c>
      <c r="Y40" s="603">
        <f t="shared" si="8"/>
      </c>
      <c r="Z40" s="603">
        <f t="shared" si="9"/>
      </c>
      <c r="AA40" s="603">
        <f t="shared" si="16"/>
        <v>0</v>
      </c>
      <c r="AB40" s="603">
        <f t="shared" si="10"/>
        <v>0</v>
      </c>
      <c r="AC40" s="603">
        <f t="shared" si="11"/>
      </c>
      <c r="AD40" s="603">
        <f t="shared" si="12"/>
        <v>0</v>
      </c>
      <c r="AE40" s="603">
        <f t="shared" si="13"/>
      </c>
      <c r="AF40" s="603">
        <f t="shared" si="14"/>
      </c>
      <c r="AG40" s="603">
        <f t="shared" si="17"/>
      </c>
      <c r="AH40" s="604" t="str">
        <f t="shared" si="18"/>
        <v> / </v>
      </c>
      <c r="AO40" s="257"/>
      <c r="AP40" s="257"/>
      <c r="AQ40" s="257"/>
      <c r="AR40" s="257"/>
      <c r="AS40" s="257"/>
    </row>
    <row r="41" spans="1:45" s="6" customFormat="1" ht="20.25" customHeight="1">
      <c r="A41" s="605">
        <f t="shared" si="15"/>
        <v>33</v>
      </c>
      <c r="B41" s="640"/>
      <c r="C41" s="649"/>
      <c r="D41" s="606"/>
      <c r="E41" s="607"/>
      <c r="F41" s="606"/>
      <c r="G41" s="595"/>
      <c r="H41" s="640"/>
      <c r="I41" s="650"/>
      <c r="J41" s="606"/>
      <c r="K41" s="607"/>
      <c r="L41" s="606"/>
      <c r="M41" s="596"/>
      <c r="N41" s="597"/>
      <c r="O41" s="598"/>
      <c r="P41" s="608">
        <f aca="true" t="shared" si="19" ref="P41:P58">B41+H41</f>
        <v>0</v>
      </c>
      <c r="Q41" s="600">
        <f aca="true" t="shared" si="20" ref="Q41:Q58">IF(ISBLANK(C41),2,IF(ISBLANK(N41),0,1))</f>
        <v>2</v>
      </c>
      <c r="R41" s="601">
        <f aca="true" t="shared" si="21" ref="R41:R58">IF(O41="СК",1,0)</f>
        <v>0</v>
      </c>
      <c r="S41" s="602"/>
      <c r="T41" s="603">
        <f aca="true" t="shared" si="22" ref="T41:T57">LEN(C41)</f>
        <v>0</v>
      </c>
      <c r="U41" s="603">
        <f aca="true" t="shared" si="23" ref="U41:U57">IF((T41)=0,0,FIND(" ",C41))</f>
        <v>0</v>
      </c>
      <c r="V41" s="603">
        <f aca="true" t="shared" si="24" ref="V41:V57">IF(OR(ISERR(U41),T41=0),"",CONCATENATE(MID(C41,U41+1,1),"."))</f>
      </c>
      <c r="W41" s="603">
        <f aca="true" t="shared" si="25" ref="W41:W57">IF(LEN(C41)=0,0,FIND(" ",C41,U41+1))</f>
        <v>0</v>
      </c>
      <c r="X41" s="603">
        <f aca="true" t="shared" si="26" ref="X41:X57">IF(OR(T41=0,ISERR(W41)),"",CONCATENATE(MID(C41,W41+1,1),"."))</f>
      </c>
      <c r="Y41" s="603">
        <f aca="true" t="shared" si="27" ref="Y41:Y57">IF(C41="","",IF(ISERR(U41),UPPER(C41),UPPER(MID(C41,1,U41-1))))</f>
      </c>
      <c r="Z41" s="603">
        <f aca="true" t="shared" si="28" ref="Z41:Z57">CONCATENATE(V41,X41)</f>
      </c>
      <c r="AA41" s="603">
        <f t="shared" si="16"/>
        <v>0</v>
      </c>
      <c r="AB41" s="603">
        <f aca="true" t="shared" si="29" ref="AB41:AB57">IF((AA41)=0,0,FIND(" ",I41))</f>
        <v>0</v>
      </c>
      <c r="AC41" s="603">
        <f aca="true" t="shared" si="30" ref="AC41:AC57">IF(OR(ISERR(AB41),AA41=0),"",CONCATENATE(MID(I41,AB41+1,1),"."))</f>
      </c>
      <c r="AD41" s="603">
        <f aca="true" t="shared" si="31" ref="AD41:AD57">IF(LEN(I41)=0,0,FIND(" ",I41,AB41+1))</f>
        <v>0</v>
      </c>
      <c r="AE41" s="603">
        <f aca="true" t="shared" si="32" ref="AE41:AE57">IF(OR(AA41=0,ISERR(AD41)),"",CONCATENATE(MID(I41,AD41+1,1),"."))</f>
      </c>
      <c r="AF41" s="603">
        <f aca="true" t="shared" si="33" ref="AF41:AF57">IF(I41="","",IF(ISERR(AB41),UPPER(I41),UPPER(MID(I41,1,AB41-1))))</f>
      </c>
      <c r="AG41" s="603">
        <f t="shared" si="17"/>
      </c>
      <c r="AH41" s="604" t="str">
        <f t="shared" si="18"/>
        <v> / </v>
      </c>
      <c r="AO41" s="604"/>
      <c r="AP41" s="604"/>
      <c r="AQ41" s="604"/>
      <c r="AR41" s="604"/>
      <c r="AS41" s="604"/>
    </row>
    <row r="42" spans="1:45" s="6" customFormat="1" ht="20.25" customHeight="1">
      <c r="A42" s="605">
        <f t="shared" si="15"/>
        <v>34</v>
      </c>
      <c r="B42" s="640"/>
      <c r="C42" s="649"/>
      <c r="D42" s="630"/>
      <c r="E42" s="631"/>
      <c r="F42" s="630"/>
      <c r="G42" s="626"/>
      <c r="H42" s="640"/>
      <c r="I42" s="649"/>
      <c r="J42" s="630"/>
      <c r="K42" s="631"/>
      <c r="L42" s="630"/>
      <c r="M42" s="627"/>
      <c r="N42" s="628"/>
      <c r="O42" s="629"/>
      <c r="P42" s="608">
        <f t="shared" si="19"/>
        <v>0</v>
      </c>
      <c r="Q42" s="600">
        <f t="shared" si="20"/>
        <v>2</v>
      </c>
      <c r="R42" s="601">
        <f t="shared" si="21"/>
        <v>0</v>
      </c>
      <c r="S42" s="602"/>
      <c r="T42" s="603">
        <f t="shared" si="22"/>
        <v>0</v>
      </c>
      <c r="U42" s="603">
        <f t="shared" si="23"/>
        <v>0</v>
      </c>
      <c r="V42" s="603">
        <f t="shared" si="24"/>
      </c>
      <c r="W42" s="603">
        <f t="shared" si="25"/>
        <v>0</v>
      </c>
      <c r="X42" s="603">
        <f t="shared" si="26"/>
      </c>
      <c r="Y42" s="603">
        <f t="shared" si="27"/>
      </c>
      <c r="Z42" s="603">
        <f t="shared" si="28"/>
      </c>
      <c r="AA42" s="603">
        <f t="shared" si="16"/>
        <v>0</v>
      </c>
      <c r="AB42" s="603">
        <f t="shared" si="29"/>
        <v>0</v>
      </c>
      <c r="AC42" s="603">
        <f t="shared" si="30"/>
      </c>
      <c r="AD42" s="603">
        <f t="shared" si="31"/>
        <v>0</v>
      </c>
      <c r="AE42" s="603">
        <f t="shared" si="32"/>
      </c>
      <c r="AF42" s="603">
        <f t="shared" si="33"/>
      </c>
      <c r="AG42" s="603">
        <f t="shared" si="17"/>
      </c>
      <c r="AH42" s="604" t="str">
        <f t="shared" si="18"/>
        <v> / </v>
      </c>
      <c r="AO42" s="257"/>
      <c r="AP42" s="257"/>
      <c r="AQ42" s="257"/>
      <c r="AR42" s="257"/>
      <c r="AS42" s="257"/>
    </row>
    <row r="43" spans="1:45" s="6" customFormat="1" ht="20.25" customHeight="1">
      <c r="A43" s="605">
        <f t="shared" si="15"/>
        <v>35</v>
      </c>
      <c r="B43" s="640"/>
      <c r="C43" s="649"/>
      <c r="D43" s="606"/>
      <c r="E43" s="607"/>
      <c r="F43" s="606"/>
      <c r="G43" s="595"/>
      <c r="H43" s="640"/>
      <c r="I43" s="650"/>
      <c r="J43" s="606"/>
      <c r="K43" s="607"/>
      <c r="L43" s="606"/>
      <c r="M43" s="596"/>
      <c r="N43" s="597"/>
      <c r="O43" s="598"/>
      <c r="P43" s="608">
        <f t="shared" si="19"/>
        <v>0</v>
      </c>
      <c r="Q43" s="600">
        <f t="shared" si="20"/>
        <v>2</v>
      </c>
      <c r="R43" s="601">
        <f t="shared" si="21"/>
        <v>0</v>
      </c>
      <c r="S43" s="602"/>
      <c r="T43" s="603">
        <f t="shared" si="22"/>
        <v>0</v>
      </c>
      <c r="U43" s="603">
        <f t="shared" si="23"/>
        <v>0</v>
      </c>
      <c r="V43" s="603">
        <f t="shared" si="24"/>
      </c>
      <c r="W43" s="603">
        <f t="shared" si="25"/>
        <v>0</v>
      </c>
      <c r="X43" s="603">
        <f t="shared" si="26"/>
      </c>
      <c r="Y43" s="603">
        <f t="shared" si="27"/>
      </c>
      <c r="Z43" s="603">
        <f t="shared" si="28"/>
      </c>
      <c r="AA43" s="603">
        <f t="shared" si="16"/>
        <v>0</v>
      </c>
      <c r="AB43" s="603">
        <f t="shared" si="29"/>
        <v>0</v>
      </c>
      <c r="AC43" s="603">
        <f t="shared" si="30"/>
      </c>
      <c r="AD43" s="603">
        <f t="shared" si="31"/>
        <v>0</v>
      </c>
      <c r="AE43" s="603">
        <f t="shared" si="32"/>
      </c>
      <c r="AF43" s="603">
        <f t="shared" si="33"/>
      </c>
      <c r="AG43" s="603">
        <f t="shared" si="17"/>
      </c>
      <c r="AH43" s="604" t="str">
        <f t="shared" si="18"/>
        <v> / </v>
      </c>
      <c r="AO43" s="257"/>
      <c r="AP43" s="257"/>
      <c r="AQ43" s="257"/>
      <c r="AR43" s="257"/>
      <c r="AS43" s="257"/>
    </row>
    <row r="44" spans="1:45" s="6" customFormat="1" ht="20.25" customHeight="1">
      <c r="A44" s="605">
        <f t="shared" si="15"/>
        <v>36</v>
      </c>
      <c r="B44" s="640"/>
      <c r="C44" s="649"/>
      <c r="D44" s="630"/>
      <c r="E44" s="631"/>
      <c r="F44" s="630"/>
      <c r="G44" s="626"/>
      <c r="H44" s="640"/>
      <c r="I44" s="649"/>
      <c r="J44" s="630"/>
      <c r="K44" s="631"/>
      <c r="L44" s="630"/>
      <c r="M44" s="627"/>
      <c r="N44" s="628"/>
      <c r="O44" s="629"/>
      <c r="P44" s="608">
        <f t="shared" si="19"/>
        <v>0</v>
      </c>
      <c r="Q44" s="600">
        <f t="shared" si="20"/>
        <v>2</v>
      </c>
      <c r="R44" s="601">
        <f t="shared" si="21"/>
        <v>0</v>
      </c>
      <c r="S44" s="602"/>
      <c r="T44" s="603">
        <f t="shared" si="22"/>
        <v>0</v>
      </c>
      <c r="U44" s="603">
        <f t="shared" si="23"/>
        <v>0</v>
      </c>
      <c r="V44" s="603">
        <f t="shared" si="24"/>
      </c>
      <c r="W44" s="603">
        <f t="shared" si="25"/>
        <v>0</v>
      </c>
      <c r="X44" s="603">
        <f t="shared" si="26"/>
      </c>
      <c r="Y44" s="603">
        <f t="shared" si="27"/>
      </c>
      <c r="Z44" s="603">
        <f t="shared" si="28"/>
      </c>
      <c r="AA44" s="603">
        <f t="shared" si="16"/>
        <v>0</v>
      </c>
      <c r="AB44" s="603">
        <f t="shared" si="29"/>
        <v>0</v>
      </c>
      <c r="AC44" s="603">
        <f t="shared" si="30"/>
      </c>
      <c r="AD44" s="603">
        <f t="shared" si="31"/>
        <v>0</v>
      </c>
      <c r="AE44" s="603">
        <f t="shared" si="32"/>
      </c>
      <c r="AF44" s="603">
        <f t="shared" si="33"/>
      </c>
      <c r="AG44" s="603">
        <f t="shared" si="17"/>
      </c>
      <c r="AH44" s="604" t="str">
        <f t="shared" si="18"/>
        <v> / </v>
      </c>
      <c r="AO44" s="257"/>
      <c r="AP44" s="257"/>
      <c r="AQ44" s="257"/>
      <c r="AR44" s="257"/>
      <c r="AS44" s="257"/>
    </row>
    <row r="45" spans="1:45" s="6" customFormat="1" ht="20.25" customHeight="1">
      <c r="A45" s="605">
        <f t="shared" si="15"/>
        <v>37</v>
      </c>
      <c r="B45" s="640"/>
      <c r="C45" s="649"/>
      <c r="D45" s="606"/>
      <c r="E45" s="607"/>
      <c r="F45" s="606"/>
      <c r="G45" s="595"/>
      <c r="H45" s="640"/>
      <c r="I45" s="650"/>
      <c r="J45" s="606"/>
      <c r="K45" s="607"/>
      <c r="L45" s="606"/>
      <c r="M45" s="596"/>
      <c r="N45" s="597"/>
      <c r="O45" s="598"/>
      <c r="P45" s="608">
        <f t="shared" si="19"/>
        <v>0</v>
      </c>
      <c r="Q45" s="600">
        <f t="shared" si="20"/>
        <v>2</v>
      </c>
      <c r="R45" s="601">
        <f t="shared" si="21"/>
        <v>0</v>
      </c>
      <c r="S45" s="602"/>
      <c r="T45" s="603">
        <f t="shared" si="22"/>
        <v>0</v>
      </c>
      <c r="U45" s="603">
        <f t="shared" si="23"/>
        <v>0</v>
      </c>
      <c r="V45" s="603">
        <f t="shared" si="24"/>
      </c>
      <c r="W45" s="603">
        <f t="shared" si="25"/>
        <v>0</v>
      </c>
      <c r="X45" s="603">
        <f t="shared" si="26"/>
      </c>
      <c r="Y45" s="603">
        <f t="shared" si="27"/>
      </c>
      <c r="Z45" s="603">
        <f t="shared" si="28"/>
      </c>
      <c r="AA45" s="603">
        <f t="shared" si="16"/>
        <v>0</v>
      </c>
      <c r="AB45" s="603">
        <f t="shared" si="29"/>
        <v>0</v>
      </c>
      <c r="AC45" s="603">
        <f t="shared" si="30"/>
      </c>
      <c r="AD45" s="603">
        <f t="shared" si="31"/>
        <v>0</v>
      </c>
      <c r="AE45" s="603">
        <f t="shared" si="32"/>
      </c>
      <c r="AF45" s="603">
        <f t="shared" si="33"/>
      </c>
      <c r="AG45" s="603">
        <f t="shared" si="17"/>
      </c>
      <c r="AH45" s="604" t="str">
        <f t="shared" si="18"/>
        <v> / </v>
      </c>
      <c r="AO45" s="517"/>
      <c r="AP45" s="517"/>
      <c r="AQ45" s="517"/>
      <c r="AR45" s="517"/>
      <c r="AS45" s="517"/>
    </row>
    <row r="46" spans="1:45" s="6" customFormat="1" ht="20.25" customHeight="1">
      <c r="A46" s="605">
        <f t="shared" si="15"/>
        <v>38</v>
      </c>
      <c r="B46" s="640"/>
      <c r="C46" s="649"/>
      <c r="D46" s="606"/>
      <c r="E46" s="607"/>
      <c r="F46" s="606"/>
      <c r="G46" s="595"/>
      <c r="H46" s="640"/>
      <c r="I46" s="650"/>
      <c r="J46" s="606"/>
      <c r="K46" s="607"/>
      <c r="L46" s="606"/>
      <c r="M46" s="596"/>
      <c r="N46" s="597"/>
      <c r="O46" s="598"/>
      <c r="P46" s="608">
        <f t="shared" si="19"/>
        <v>0</v>
      </c>
      <c r="Q46" s="600">
        <f t="shared" si="20"/>
        <v>2</v>
      </c>
      <c r="R46" s="601">
        <f t="shared" si="21"/>
        <v>0</v>
      </c>
      <c r="S46" s="602"/>
      <c r="T46" s="603">
        <f t="shared" si="22"/>
        <v>0</v>
      </c>
      <c r="U46" s="603">
        <f t="shared" si="23"/>
        <v>0</v>
      </c>
      <c r="V46" s="603">
        <f t="shared" si="24"/>
      </c>
      <c r="W46" s="603">
        <f t="shared" si="25"/>
        <v>0</v>
      </c>
      <c r="X46" s="603">
        <f t="shared" si="26"/>
      </c>
      <c r="Y46" s="603">
        <f t="shared" si="27"/>
      </c>
      <c r="Z46" s="603">
        <f t="shared" si="28"/>
      </c>
      <c r="AA46" s="603">
        <f t="shared" si="16"/>
        <v>0</v>
      </c>
      <c r="AB46" s="603">
        <f t="shared" si="29"/>
        <v>0</v>
      </c>
      <c r="AC46" s="603">
        <f t="shared" si="30"/>
      </c>
      <c r="AD46" s="603">
        <f t="shared" si="31"/>
        <v>0</v>
      </c>
      <c r="AE46" s="603">
        <f t="shared" si="32"/>
      </c>
      <c r="AF46" s="603">
        <f t="shared" si="33"/>
      </c>
      <c r="AG46" s="603">
        <f t="shared" si="17"/>
      </c>
      <c r="AH46" s="604" t="str">
        <f t="shared" si="18"/>
        <v> / </v>
      </c>
      <c r="AO46" s="257"/>
      <c r="AP46" s="257"/>
      <c r="AQ46" s="257"/>
      <c r="AR46" s="257"/>
      <c r="AS46" s="257"/>
    </row>
    <row r="47" spans="1:45" s="6" customFormat="1" ht="20.25" customHeight="1">
      <c r="A47" s="605">
        <f t="shared" si="15"/>
        <v>39</v>
      </c>
      <c r="B47" s="640"/>
      <c r="C47" s="649"/>
      <c r="D47" s="606"/>
      <c r="E47" s="607"/>
      <c r="F47" s="606"/>
      <c r="G47" s="595"/>
      <c r="H47" s="640"/>
      <c r="I47" s="650"/>
      <c r="J47" s="606"/>
      <c r="K47" s="607"/>
      <c r="L47" s="606"/>
      <c r="M47" s="596"/>
      <c r="N47" s="597"/>
      <c r="O47" s="598"/>
      <c r="P47" s="608">
        <f t="shared" si="19"/>
        <v>0</v>
      </c>
      <c r="Q47" s="600">
        <f t="shared" si="20"/>
        <v>2</v>
      </c>
      <c r="R47" s="601">
        <f t="shared" si="21"/>
        <v>0</v>
      </c>
      <c r="S47" s="602"/>
      <c r="T47" s="603">
        <f t="shared" si="22"/>
        <v>0</v>
      </c>
      <c r="U47" s="603">
        <f t="shared" si="23"/>
        <v>0</v>
      </c>
      <c r="V47" s="603">
        <f t="shared" si="24"/>
      </c>
      <c r="W47" s="603">
        <f t="shared" si="25"/>
        <v>0</v>
      </c>
      <c r="X47" s="603">
        <f t="shared" si="26"/>
      </c>
      <c r="Y47" s="603">
        <f t="shared" si="27"/>
      </c>
      <c r="Z47" s="603">
        <f t="shared" si="28"/>
      </c>
      <c r="AA47" s="603">
        <f t="shared" si="16"/>
        <v>0</v>
      </c>
      <c r="AB47" s="603">
        <f t="shared" si="29"/>
        <v>0</v>
      </c>
      <c r="AC47" s="603">
        <f t="shared" si="30"/>
      </c>
      <c r="AD47" s="603">
        <f t="shared" si="31"/>
        <v>0</v>
      </c>
      <c r="AE47" s="603">
        <f t="shared" si="32"/>
      </c>
      <c r="AF47" s="603">
        <f t="shared" si="33"/>
      </c>
      <c r="AG47" s="603">
        <f t="shared" si="17"/>
      </c>
      <c r="AH47" s="604" t="str">
        <f t="shared" si="18"/>
        <v> / </v>
      </c>
      <c r="AO47" s="257"/>
      <c r="AP47" s="257"/>
      <c r="AQ47" s="257"/>
      <c r="AR47" s="257"/>
      <c r="AS47" s="257"/>
    </row>
    <row r="48" spans="1:45" s="6" customFormat="1" ht="20.25" customHeight="1">
      <c r="A48" s="605">
        <f t="shared" si="15"/>
        <v>40</v>
      </c>
      <c r="B48" s="640"/>
      <c r="C48" s="649"/>
      <c r="D48" s="606"/>
      <c r="E48" s="607"/>
      <c r="F48" s="606"/>
      <c r="G48" s="595"/>
      <c r="H48" s="640"/>
      <c r="I48" s="650"/>
      <c r="J48" s="606"/>
      <c r="K48" s="607"/>
      <c r="L48" s="606"/>
      <c r="M48" s="596"/>
      <c r="N48" s="597"/>
      <c r="O48" s="598"/>
      <c r="P48" s="608">
        <f t="shared" si="19"/>
        <v>0</v>
      </c>
      <c r="Q48" s="600">
        <f t="shared" si="20"/>
        <v>2</v>
      </c>
      <c r="R48" s="601">
        <f t="shared" si="21"/>
        <v>0</v>
      </c>
      <c r="S48" s="602"/>
      <c r="T48" s="603">
        <f t="shared" si="22"/>
        <v>0</v>
      </c>
      <c r="U48" s="603">
        <f t="shared" si="23"/>
        <v>0</v>
      </c>
      <c r="V48" s="603">
        <f t="shared" si="24"/>
      </c>
      <c r="W48" s="603">
        <f t="shared" si="25"/>
        <v>0</v>
      </c>
      <c r="X48" s="603">
        <f t="shared" si="26"/>
      </c>
      <c r="Y48" s="603">
        <f t="shared" si="27"/>
      </c>
      <c r="Z48" s="603">
        <f t="shared" si="28"/>
      </c>
      <c r="AA48" s="603">
        <f t="shared" si="16"/>
        <v>0</v>
      </c>
      <c r="AB48" s="603">
        <f t="shared" si="29"/>
        <v>0</v>
      </c>
      <c r="AC48" s="603">
        <f t="shared" si="30"/>
      </c>
      <c r="AD48" s="603">
        <f t="shared" si="31"/>
        <v>0</v>
      </c>
      <c r="AE48" s="603">
        <f t="shared" si="32"/>
      </c>
      <c r="AF48" s="603">
        <f t="shared" si="33"/>
      </c>
      <c r="AG48" s="603">
        <f t="shared" si="17"/>
      </c>
      <c r="AH48" s="604" t="str">
        <f t="shared" si="18"/>
        <v> / </v>
      </c>
      <c r="AO48" s="257"/>
      <c r="AP48" s="257"/>
      <c r="AQ48" s="257"/>
      <c r="AR48" s="257"/>
      <c r="AS48" s="257"/>
    </row>
    <row r="49" spans="1:45" s="6" customFormat="1" ht="20.25" customHeight="1">
      <c r="A49" s="605">
        <f t="shared" si="15"/>
        <v>41</v>
      </c>
      <c r="B49" s="640"/>
      <c r="C49" s="649"/>
      <c r="D49" s="606"/>
      <c r="E49" s="607"/>
      <c r="F49" s="606"/>
      <c r="G49" s="595"/>
      <c r="H49" s="640"/>
      <c r="I49" s="650"/>
      <c r="J49" s="606"/>
      <c r="K49" s="607"/>
      <c r="L49" s="606"/>
      <c r="M49" s="596"/>
      <c r="N49" s="597"/>
      <c r="O49" s="598"/>
      <c r="P49" s="608">
        <f t="shared" si="19"/>
        <v>0</v>
      </c>
      <c r="Q49" s="600">
        <f t="shared" si="20"/>
        <v>2</v>
      </c>
      <c r="R49" s="601">
        <f t="shared" si="21"/>
        <v>0</v>
      </c>
      <c r="S49" s="602"/>
      <c r="T49" s="603">
        <f t="shared" si="22"/>
        <v>0</v>
      </c>
      <c r="U49" s="603">
        <f t="shared" si="23"/>
        <v>0</v>
      </c>
      <c r="V49" s="603">
        <f t="shared" si="24"/>
      </c>
      <c r="W49" s="603">
        <f t="shared" si="25"/>
        <v>0</v>
      </c>
      <c r="X49" s="603">
        <f t="shared" si="26"/>
      </c>
      <c r="Y49" s="603">
        <f t="shared" si="27"/>
      </c>
      <c r="Z49" s="603">
        <f t="shared" si="28"/>
      </c>
      <c r="AA49" s="603">
        <f t="shared" si="16"/>
        <v>0</v>
      </c>
      <c r="AB49" s="603">
        <f t="shared" si="29"/>
        <v>0</v>
      </c>
      <c r="AC49" s="603">
        <f t="shared" si="30"/>
      </c>
      <c r="AD49" s="603">
        <f t="shared" si="31"/>
        <v>0</v>
      </c>
      <c r="AE49" s="603">
        <f t="shared" si="32"/>
      </c>
      <c r="AF49" s="603">
        <f t="shared" si="33"/>
      </c>
      <c r="AG49" s="603">
        <f t="shared" si="17"/>
      </c>
      <c r="AH49" s="604" t="str">
        <f t="shared" si="18"/>
        <v> / </v>
      </c>
      <c r="AO49" s="257"/>
      <c r="AP49" s="257"/>
      <c r="AQ49" s="257"/>
      <c r="AR49" s="257"/>
      <c r="AS49" s="257"/>
    </row>
    <row r="50" spans="1:45" s="6" customFormat="1" ht="20.25" customHeight="1">
      <c r="A50" s="605">
        <f t="shared" si="15"/>
        <v>42</v>
      </c>
      <c r="B50" s="640"/>
      <c r="C50" s="649"/>
      <c r="D50" s="606"/>
      <c r="E50" s="607"/>
      <c r="F50" s="606"/>
      <c r="G50" s="595"/>
      <c r="H50" s="640"/>
      <c r="I50" s="650"/>
      <c r="J50" s="606"/>
      <c r="K50" s="607"/>
      <c r="L50" s="606"/>
      <c r="M50" s="596"/>
      <c r="N50" s="597"/>
      <c r="O50" s="598"/>
      <c r="P50" s="608">
        <f t="shared" si="19"/>
        <v>0</v>
      </c>
      <c r="Q50" s="600">
        <f t="shared" si="20"/>
        <v>2</v>
      </c>
      <c r="R50" s="601">
        <f t="shared" si="21"/>
        <v>0</v>
      </c>
      <c r="S50" s="602"/>
      <c r="T50" s="603">
        <f t="shared" si="22"/>
        <v>0</v>
      </c>
      <c r="U50" s="603">
        <f t="shared" si="23"/>
        <v>0</v>
      </c>
      <c r="V50" s="603">
        <f t="shared" si="24"/>
      </c>
      <c r="W50" s="603">
        <f t="shared" si="25"/>
        <v>0</v>
      </c>
      <c r="X50" s="603">
        <f t="shared" si="26"/>
      </c>
      <c r="Y50" s="603">
        <f t="shared" si="27"/>
      </c>
      <c r="Z50" s="603">
        <f t="shared" si="28"/>
      </c>
      <c r="AA50" s="603">
        <f t="shared" si="16"/>
        <v>0</v>
      </c>
      <c r="AB50" s="603">
        <f t="shared" si="29"/>
        <v>0</v>
      </c>
      <c r="AC50" s="603">
        <f t="shared" si="30"/>
      </c>
      <c r="AD50" s="603">
        <f t="shared" si="31"/>
        <v>0</v>
      </c>
      <c r="AE50" s="603">
        <f t="shared" si="32"/>
      </c>
      <c r="AF50" s="603">
        <f t="shared" si="33"/>
      </c>
      <c r="AG50" s="603">
        <f t="shared" si="17"/>
      </c>
      <c r="AH50" s="604" t="str">
        <f t="shared" si="18"/>
        <v> / </v>
      </c>
      <c r="AO50" s="257"/>
      <c r="AP50" s="257"/>
      <c r="AQ50" s="257"/>
      <c r="AR50" s="257"/>
      <c r="AS50" s="257"/>
    </row>
    <row r="51" spans="1:45" s="6" customFormat="1" ht="20.25" customHeight="1">
      <c r="A51" s="605">
        <f t="shared" si="15"/>
        <v>43</v>
      </c>
      <c r="B51" s="640"/>
      <c r="C51" s="649"/>
      <c r="D51" s="606"/>
      <c r="E51" s="607"/>
      <c r="F51" s="606"/>
      <c r="G51" s="595"/>
      <c r="H51" s="640"/>
      <c r="I51" s="650"/>
      <c r="J51" s="606"/>
      <c r="K51" s="607"/>
      <c r="L51" s="606"/>
      <c r="M51" s="596"/>
      <c r="N51" s="597"/>
      <c r="O51" s="598"/>
      <c r="P51" s="608">
        <f t="shared" si="19"/>
        <v>0</v>
      </c>
      <c r="Q51" s="600">
        <f t="shared" si="20"/>
        <v>2</v>
      </c>
      <c r="R51" s="601">
        <f t="shared" si="21"/>
        <v>0</v>
      </c>
      <c r="S51" s="602"/>
      <c r="T51" s="603">
        <f t="shared" si="22"/>
        <v>0</v>
      </c>
      <c r="U51" s="603">
        <f t="shared" si="23"/>
        <v>0</v>
      </c>
      <c r="V51" s="603">
        <f t="shared" si="24"/>
      </c>
      <c r="W51" s="603">
        <f t="shared" si="25"/>
        <v>0</v>
      </c>
      <c r="X51" s="603">
        <f t="shared" si="26"/>
      </c>
      <c r="Y51" s="603">
        <f t="shared" si="27"/>
      </c>
      <c r="Z51" s="603">
        <f t="shared" si="28"/>
      </c>
      <c r="AA51" s="603">
        <f t="shared" si="16"/>
        <v>0</v>
      </c>
      <c r="AB51" s="603">
        <f t="shared" si="29"/>
        <v>0</v>
      </c>
      <c r="AC51" s="603">
        <f t="shared" si="30"/>
      </c>
      <c r="AD51" s="603">
        <f t="shared" si="31"/>
        <v>0</v>
      </c>
      <c r="AE51" s="603">
        <f t="shared" si="32"/>
      </c>
      <c r="AF51" s="603">
        <f t="shared" si="33"/>
      </c>
      <c r="AG51" s="603">
        <f t="shared" si="17"/>
      </c>
      <c r="AH51" s="604" t="str">
        <f t="shared" si="18"/>
        <v> / </v>
      </c>
      <c r="AO51" s="257"/>
      <c r="AP51" s="257"/>
      <c r="AQ51" s="257"/>
      <c r="AR51" s="257"/>
      <c r="AS51" s="257"/>
    </row>
    <row r="52" spans="1:45" s="6" customFormat="1" ht="20.25" customHeight="1">
      <c r="A52" s="605">
        <f t="shared" si="15"/>
        <v>44</v>
      </c>
      <c r="B52" s="640"/>
      <c r="C52" s="649"/>
      <c r="D52" s="606"/>
      <c r="E52" s="607"/>
      <c r="F52" s="606"/>
      <c r="G52" s="595"/>
      <c r="H52" s="640"/>
      <c r="I52" s="650"/>
      <c r="J52" s="606"/>
      <c r="K52" s="607"/>
      <c r="L52" s="606"/>
      <c r="M52" s="596"/>
      <c r="N52" s="597"/>
      <c r="O52" s="598"/>
      <c r="P52" s="608">
        <f t="shared" si="19"/>
        <v>0</v>
      </c>
      <c r="Q52" s="600">
        <f t="shared" si="20"/>
        <v>2</v>
      </c>
      <c r="R52" s="601">
        <f t="shared" si="21"/>
        <v>0</v>
      </c>
      <c r="S52" s="602"/>
      <c r="T52" s="603">
        <f t="shared" si="22"/>
        <v>0</v>
      </c>
      <c r="U52" s="603">
        <f t="shared" si="23"/>
        <v>0</v>
      </c>
      <c r="V52" s="603">
        <f t="shared" si="24"/>
      </c>
      <c r="W52" s="603">
        <f t="shared" si="25"/>
        <v>0</v>
      </c>
      <c r="X52" s="603">
        <f t="shared" si="26"/>
      </c>
      <c r="Y52" s="603">
        <f t="shared" si="27"/>
      </c>
      <c r="Z52" s="603">
        <f t="shared" si="28"/>
      </c>
      <c r="AA52" s="603">
        <f t="shared" si="16"/>
        <v>0</v>
      </c>
      <c r="AB52" s="603">
        <f t="shared" si="29"/>
        <v>0</v>
      </c>
      <c r="AC52" s="603">
        <f t="shared" si="30"/>
      </c>
      <c r="AD52" s="603">
        <f t="shared" si="31"/>
        <v>0</v>
      </c>
      <c r="AE52" s="603">
        <f t="shared" si="32"/>
      </c>
      <c r="AF52" s="603">
        <f t="shared" si="33"/>
      </c>
      <c r="AG52" s="603">
        <f t="shared" si="17"/>
      </c>
      <c r="AH52" s="604" t="str">
        <f t="shared" si="18"/>
        <v> / </v>
      </c>
      <c r="AO52" s="257"/>
      <c r="AP52" s="257"/>
      <c r="AQ52" s="257"/>
      <c r="AR52" s="257"/>
      <c r="AS52" s="257"/>
    </row>
    <row r="53" spans="1:45" s="6" customFormat="1" ht="20.25" customHeight="1">
      <c r="A53" s="605">
        <f t="shared" si="15"/>
        <v>45</v>
      </c>
      <c r="B53" s="640"/>
      <c r="C53" s="649"/>
      <c r="D53" s="610"/>
      <c r="E53" s="597"/>
      <c r="F53" s="610"/>
      <c r="G53" s="595"/>
      <c r="H53" s="645"/>
      <c r="I53" s="650"/>
      <c r="J53" s="610"/>
      <c r="K53" s="597"/>
      <c r="L53" s="610"/>
      <c r="M53" s="596"/>
      <c r="N53" s="597"/>
      <c r="O53" s="598"/>
      <c r="P53" s="608">
        <f t="shared" si="19"/>
        <v>0</v>
      </c>
      <c r="Q53" s="600">
        <f t="shared" si="20"/>
        <v>2</v>
      </c>
      <c r="R53" s="601">
        <f t="shared" si="21"/>
        <v>0</v>
      </c>
      <c r="S53" s="602"/>
      <c r="T53" s="603">
        <f t="shared" si="22"/>
        <v>0</v>
      </c>
      <c r="U53" s="603">
        <f t="shared" si="23"/>
        <v>0</v>
      </c>
      <c r="V53" s="603">
        <f t="shared" si="24"/>
      </c>
      <c r="W53" s="603">
        <f t="shared" si="25"/>
        <v>0</v>
      </c>
      <c r="X53" s="603">
        <f t="shared" si="26"/>
      </c>
      <c r="Y53" s="603">
        <f t="shared" si="27"/>
      </c>
      <c r="Z53" s="603">
        <f t="shared" si="28"/>
      </c>
      <c r="AA53" s="603">
        <f t="shared" si="16"/>
        <v>0</v>
      </c>
      <c r="AB53" s="603">
        <f t="shared" si="29"/>
        <v>0</v>
      </c>
      <c r="AC53" s="603">
        <f t="shared" si="30"/>
      </c>
      <c r="AD53" s="603">
        <f t="shared" si="31"/>
        <v>0</v>
      </c>
      <c r="AE53" s="603">
        <f t="shared" si="32"/>
      </c>
      <c r="AF53" s="603">
        <f t="shared" si="33"/>
      </c>
      <c r="AG53" s="603">
        <f t="shared" si="17"/>
      </c>
      <c r="AH53" s="604" t="str">
        <f t="shared" si="18"/>
        <v> / </v>
      </c>
      <c r="AO53" s="257"/>
      <c r="AP53" s="257"/>
      <c r="AQ53" s="257"/>
      <c r="AR53" s="257"/>
      <c r="AS53" s="257"/>
    </row>
    <row r="54" spans="1:45" s="6" customFormat="1" ht="20.25" customHeight="1">
      <c r="A54" s="605">
        <f t="shared" si="15"/>
        <v>46</v>
      </c>
      <c r="B54" s="640"/>
      <c r="C54" s="649"/>
      <c r="D54" s="606"/>
      <c r="E54" s="607"/>
      <c r="F54" s="606"/>
      <c r="G54" s="595"/>
      <c r="H54" s="640"/>
      <c r="I54" s="650"/>
      <c r="J54" s="606"/>
      <c r="K54" s="607"/>
      <c r="L54" s="606"/>
      <c r="M54" s="596"/>
      <c r="N54" s="597"/>
      <c r="O54" s="598"/>
      <c r="P54" s="608">
        <f t="shared" si="19"/>
        <v>0</v>
      </c>
      <c r="Q54" s="600">
        <f t="shared" si="20"/>
        <v>2</v>
      </c>
      <c r="R54" s="601">
        <f t="shared" si="21"/>
        <v>0</v>
      </c>
      <c r="S54" s="602"/>
      <c r="T54" s="603">
        <f t="shared" si="22"/>
        <v>0</v>
      </c>
      <c r="U54" s="603">
        <f t="shared" si="23"/>
        <v>0</v>
      </c>
      <c r="V54" s="603">
        <f t="shared" si="24"/>
      </c>
      <c r="W54" s="603">
        <f t="shared" si="25"/>
        <v>0</v>
      </c>
      <c r="X54" s="603">
        <f t="shared" si="26"/>
      </c>
      <c r="Y54" s="603">
        <f t="shared" si="27"/>
      </c>
      <c r="Z54" s="603">
        <f t="shared" si="28"/>
      </c>
      <c r="AA54" s="603">
        <f t="shared" si="16"/>
        <v>0</v>
      </c>
      <c r="AB54" s="603">
        <f t="shared" si="29"/>
        <v>0</v>
      </c>
      <c r="AC54" s="603">
        <f t="shared" si="30"/>
      </c>
      <c r="AD54" s="603">
        <f t="shared" si="31"/>
        <v>0</v>
      </c>
      <c r="AE54" s="603">
        <f t="shared" si="32"/>
      </c>
      <c r="AF54" s="603">
        <f t="shared" si="33"/>
      </c>
      <c r="AG54" s="603">
        <f t="shared" si="17"/>
      </c>
      <c r="AH54" s="604" t="str">
        <f t="shared" si="18"/>
        <v> / </v>
      </c>
      <c r="AO54" s="604"/>
      <c r="AP54" s="604"/>
      <c r="AQ54" s="604"/>
      <c r="AR54" s="604"/>
      <c r="AS54" s="604"/>
    </row>
    <row r="55" spans="1:45" s="6" customFormat="1" ht="20.25" customHeight="1">
      <c r="A55" s="605">
        <f t="shared" si="15"/>
        <v>47</v>
      </c>
      <c r="B55" s="640"/>
      <c r="C55" s="649"/>
      <c r="D55" s="606"/>
      <c r="E55" s="607"/>
      <c r="F55" s="606"/>
      <c r="G55" s="595"/>
      <c r="H55" s="640"/>
      <c r="I55" s="650"/>
      <c r="J55" s="606"/>
      <c r="K55" s="607"/>
      <c r="L55" s="606"/>
      <c r="M55" s="596"/>
      <c r="N55" s="597"/>
      <c r="O55" s="598"/>
      <c r="P55" s="608">
        <f t="shared" si="19"/>
        <v>0</v>
      </c>
      <c r="Q55" s="600">
        <f t="shared" si="20"/>
        <v>2</v>
      </c>
      <c r="R55" s="601">
        <f t="shared" si="21"/>
        <v>0</v>
      </c>
      <c r="S55" s="602"/>
      <c r="T55" s="603">
        <f t="shared" si="22"/>
        <v>0</v>
      </c>
      <c r="U55" s="603">
        <f t="shared" si="23"/>
        <v>0</v>
      </c>
      <c r="V55" s="603">
        <f t="shared" si="24"/>
      </c>
      <c r="W55" s="603">
        <f t="shared" si="25"/>
        <v>0</v>
      </c>
      <c r="X55" s="603">
        <f t="shared" si="26"/>
      </c>
      <c r="Y55" s="603">
        <f t="shared" si="27"/>
      </c>
      <c r="Z55" s="603">
        <f t="shared" si="28"/>
      </c>
      <c r="AA55" s="603">
        <f t="shared" si="16"/>
        <v>0</v>
      </c>
      <c r="AB55" s="603">
        <f t="shared" si="29"/>
        <v>0</v>
      </c>
      <c r="AC55" s="603">
        <f t="shared" si="30"/>
      </c>
      <c r="AD55" s="603">
        <f t="shared" si="31"/>
        <v>0</v>
      </c>
      <c r="AE55" s="603">
        <f t="shared" si="32"/>
      </c>
      <c r="AF55" s="603">
        <f t="shared" si="33"/>
      </c>
      <c r="AG55" s="603">
        <f t="shared" si="17"/>
      </c>
      <c r="AH55" s="604" t="str">
        <f t="shared" si="18"/>
        <v> / </v>
      </c>
      <c r="AO55" s="604"/>
      <c r="AP55" s="604"/>
      <c r="AQ55" s="604"/>
      <c r="AR55" s="604"/>
      <c r="AS55" s="604"/>
    </row>
    <row r="56" spans="1:45" s="6" customFormat="1" ht="20.25" customHeight="1">
      <c r="A56" s="605">
        <f t="shared" si="15"/>
        <v>48</v>
      </c>
      <c r="B56" s="640"/>
      <c r="C56" s="649"/>
      <c r="D56" s="606"/>
      <c r="E56" s="607"/>
      <c r="F56" s="606"/>
      <c r="G56" s="595"/>
      <c r="H56" s="640"/>
      <c r="I56" s="650"/>
      <c r="J56" s="606"/>
      <c r="K56" s="607"/>
      <c r="L56" s="606"/>
      <c r="M56" s="596"/>
      <c r="N56" s="597"/>
      <c r="O56" s="598"/>
      <c r="P56" s="608">
        <f t="shared" si="19"/>
        <v>0</v>
      </c>
      <c r="Q56" s="600">
        <f t="shared" si="20"/>
        <v>2</v>
      </c>
      <c r="R56" s="601">
        <f t="shared" si="21"/>
        <v>0</v>
      </c>
      <c r="S56" s="602"/>
      <c r="T56" s="603">
        <f t="shared" si="22"/>
        <v>0</v>
      </c>
      <c r="U56" s="603">
        <f t="shared" si="23"/>
        <v>0</v>
      </c>
      <c r="V56" s="603">
        <f t="shared" si="24"/>
      </c>
      <c r="W56" s="603">
        <f t="shared" si="25"/>
        <v>0</v>
      </c>
      <c r="X56" s="603">
        <f t="shared" si="26"/>
      </c>
      <c r="Y56" s="603">
        <f t="shared" si="27"/>
      </c>
      <c r="Z56" s="603">
        <f t="shared" si="28"/>
      </c>
      <c r="AA56" s="603">
        <f t="shared" si="16"/>
        <v>0</v>
      </c>
      <c r="AB56" s="603">
        <f t="shared" si="29"/>
        <v>0</v>
      </c>
      <c r="AC56" s="603">
        <f t="shared" si="30"/>
      </c>
      <c r="AD56" s="603">
        <f t="shared" si="31"/>
        <v>0</v>
      </c>
      <c r="AE56" s="603">
        <f t="shared" si="32"/>
      </c>
      <c r="AF56" s="603">
        <f t="shared" si="33"/>
      </c>
      <c r="AG56" s="603">
        <f t="shared" si="17"/>
      </c>
      <c r="AH56" s="604" t="str">
        <f t="shared" si="18"/>
        <v> / </v>
      </c>
      <c r="AO56" s="257"/>
      <c r="AP56" s="257"/>
      <c r="AQ56" s="257"/>
      <c r="AR56" s="257"/>
      <c r="AS56" s="257"/>
    </row>
    <row r="57" spans="1:45" s="6" customFormat="1" ht="20.25" customHeight="1">
      <c r="A57" s="605">
        <f t="shared" si="15"/>
        <v>49</v>
      </c>
      <c r="B57" s="640"/>
      <c r="C57" s="649"/>
      <c r="D57" s="606"/>
      <c r="E57" s="607"/>
      <c r="F57" s="606"/>
      <c r="G57" s="595"/>
      <c r="H57" s="640"/>
      <c r="I57" s="650"/>
      <c r="J57" s="606"/>
      <c r="K57" s="607"/>
      <c r="L57" s="606"/>
      <c r="M57" s="596"/>
      <c r="N57" s="597"/>
      <c r="O57" s="598"/>
      <c r="P57" s="608">
        <f t="shared" si="19"/>
        <v>0</v>
      </c>
      <c r="Q57" s="600">
        <f t="shared" si="20"/>
        <v>2</v>
      </c>
      <c r="R57" s="601">
        <f t="shared" si="21"/>
        <v>0</v>
      </c>
      <c r="S57" s="602"/>
      <c r="T57" s="603">
        <f t="shared" si="22"/>
        <v>0</v>
      </c>
      <c r="U57" s="603">
        <f t="shared" si="23"/>
        <v>0</v>
      </c>
      <c r="V57" s="603">
        <f t="shared" si="24"/>
      </c>
      <c r="W57" s="603">
        <f t="shared" si="25"/>
        <v>0</v>
      </c>
      <c r="X57" s="603">
        <f t="shared" si="26"/>
      </c>
      <c r="Y57" s="603">
        <f t="shared" si="27"/>
      </c>
      <c r="Z57" s="603">
        <f t="shared" si="28"/>
      </c>
      <c r="AA57" s="603">
        <f t="shared" si="16"/>
        <v>0</v>
      </c>
      <c r="AB57" s="603">
        <f t="shared" si="29"/>
        <v>0</v>
      </c>
      <c r="AC57" s="603">
        <f t="shared" si="30"/>
      </c>
      <c r="AD57" s="603">
        <f t="shared" si="31"/>
        <v>0</v>
      </c>
      <c r="AE57" s="603">
        <f t="shared" si="32"/>
      </c>
      <c r="AF57" s="603">
        <f t="shared" si="33"/>
      </c>
      <c r="AG57" s="603">
        <f t="shared" si="17"/>
      </c>
      <c r="AH57" s="604" t="str">
        <f t="shared" si="18"/>
        <v> / </v>
      </c>
      <c r="AO57" s="604"/>
      <c r="AP57" s="604"/>
      <c r="AQ57" s="604"/>
      <c r="AR57" s="604"/>
      <c r="AS57" s="604"/>
    </row>
    <row r="58" spans="1:45" s="6" customFormat="1" ht="20.25" customHeight="1">
      <c r="A58" s="605">
        <f t="shared" si="15"/>
        <v>50</v>
      </c>
      <c r="B58" s="640"/>
      <c r="C58" s="649"/>
      <c r="D58" s="606"/>
      <c r="E58" s="607"/>
      <c r="F58" s="606"/>
      <c r="G58" s="595"/>
      <c r="H58" s="640"/>
      <c r="I58" s="650"/>
      <c r="J58" s="606"/>
      <c r="K58" s="607"/>
      <c r="L58" s="606"/>
      <c r="M58" s="596"/>
      <c r="N58" s="597"/>
      <c r="O58" s="598"/>
      <c r="P58" s="608">
        <f t="shared" si="19"/>
        <v>0</v>
      </c>
      <c r="Q58" s="600">
        <f t="shared" si="20"/>
        <v>2</v>
      </c>
      <c r="R58" s="601">
        <f t="shared" si="21"/>
        <v>0</v>
      </c>
      <c r="S58" s="602"/>
      <c r="T58" s="603">
        <f>LEN(C58)</f>
        <v>0</v>
      </c>
      <c r="U58" s="603">
        <f>IF((T58)=0,0,FIND(" ",C58))</f>
        <v>0</v>
      </c>
      <c r="V58" s="603">
        <f>IF(OR(ISERR(U58),T58=0),"",CONCATENATE(MID(C58,U58+1,1),"."))</f>
      </c>
      <c r="W58" s="603">
        <f>IF(LEN(C58)=0,0,FIND(" ",C58,U58+1))</f>
        <v>0</v>
      </c>
      <c r="X58" s="603">
        <f>IF(OR(T58=0,ISERR(W58)),"",CONCATENATE(MID(C58,W58+1,1),"."))</f>
      </c>
      <c r="Y58" s="603">
        <f>IF(C58="","",IF(ISERR(U58),UPPER(C58),UPPER(MID(C58,1,U58-1))))</f>
      </c>
      <c r="Z58" s="603">
        <f>CONCATENATE(V58,X58)</f>
      </c>
      <c r="AA58" s="603">
        <f>LEN(I58)</f>
        <v>0</v>
      </c>
      <c r="AB58" s="603">
        <f>IF((AA58)=0,0,FIND(" ",I58))</f>
        <v>0</v>
      </c>
      <c r="AC58" s="603">
        <f>IF(OR(ISERR(AB58),AA58=0),"",CONCATENATE(MID(I58,AB58+1,1),"."))</f>
      </c>
      <c r="AD58" s="603">
        <f>IF(LEN(I58)=0,0,FIND(" ",I58,AB58+1))</f>
        <v>0</v>
      </c>
      <c r="AE58" s="603">
        <f>IF(OR(AA58=0,ISERR(AD58)),"",CONCATENATE(MID(I58,AD58+1,1),"."))</f>
      </c>
      <c r="AF58" s="603">
        <f>IF(I58="","",IF(ISERR(AB58),UPPER(I58),UPPER(MID(I58,1,AB58-1))))</f>
      </c>
      <c r="AG58" s="603">
        <f>CONCATENATE(AC58,AE58)</f>
      </c>
      <c r="AH58" s="604" t="str">
        <f>CONCATENATE(Y58," / ",AF58)</f>
        <v> / </v>
      </c>
      <c r="AO58" s="257"/>
      <c r="AP58" s="257"/>
      <c r="AQ58" s="257"/>
      <c r="AR58" s="257"/>
      <c r="AS58" s="257"/>
    </row>
    <row r="59" spans="1:45" s="418" customFormat="1" ht="15">
      <c r="A59" s="3"/>
      <c r="B59" s="4"/>
      <c r="C59" s="419"/>
      <c r="D59" s="4"/>
      <c r="E59" s="4"/>
      <c r="F59" s="27"/>
      <c r="G59" s="27"/>
      <c r="H59" s="27"/>
      <c r="I59" s="27"/>
      <c r="J59" s="27"/>
      <c r="K59" s="27"/>
      <c r="L59" s="27"/>
      <c r="M59" s="27"/>
      <c r="N59" s="420"/>
      <c r="O59" s="420"/>
      <c r="P59" s="27"/>
      <c r="Q59" s="517"/>
      <c r="R59" s="518"/>
      <c r="S59" s="517"/>
      <c r="T59" s="517"/>
      <c r="U59" s="517"/>
      <c r="V59" s="517"/>
      <c r="W59" s="517"/>
      <c r="X59" s="517"/>
      <c r="Y59" s="517"/>
      <c r="Z59" s="517"/>
      <c r="AA59" s="517"/>
      <c r="AB59" s="517"/>
      <c r="AC59" s="517"/>
      <c r="AD59" s="517"/>
      <c r="AE59" s="517"/>
      <c r="AF59" s="517"/>
      <c r="AG59" s="517"/>
      <c r="AH59" s="517"/>
      <c r="AO59" s="257"/>
      <c r="AP59" s="257"/>
      <c r="AQ59" s="257"/>
      <c r="AR59" s="257"/>
      <c r="AS59" s="257"/>
    </row>
    <row r="60" spans="1:45" s="418" customFormat="1" ht="15">
      <c r="A60" s="3"/>
      <c r="B60" s="4"/>
      <c r="C60" s="419"/>
      <c r="D60" s="4"/>
      <c r="E60" s="4"/>
      <c r="F60" s="27"/>
      <c r="G60" s="27"/>
      <c r="H60" s="27"/>
      <c r="I60" s="27"/>
      <c r="J60" s="27"/>
      <c r="K60" s="27"/>
      <c r="L60" s="27"/>
      <c r="M60" s="27"/>
      <c r="N60" s="420"/>
      <c r="O60" s="420"/>
      <c r="P60" s="27"/>
      <c r="Q60" s="517"/>
      <c r="R60" s="518"/>
      <c r="S60" s="517"/>
      <c r="T60" s="517"/>
      <c r="U60" s="517"/>
      <c r="V60" s="517"/>
      <c r="W60" s="517"/>
      <c r="X60" s="517"/>
      <c r="Y60" s="517"/>
      <c r="Z60" s="517"/>
      <c r="AA60" s="517"/>
      <c r="AB60" s="517"/>
      <c r="AC60" s="517"/>
      <c r="AD60" s="517"/>
      <c r="AE60" s="517"/>
      <c r="AF60" s="517"/>
      <c r="AG60" s="517"/>
      <c r="AH60" s="517"/>
      <c r="AO60" s="257"/>
      <c r="AP60" s="257"/>
      <c r="AQ60" s="257"/>
      <c r="AR60" s="257"/>
      <c r="AS60" s="257"/>
    </row>
    <row r="61" spans="1:45" s="418" customFormat="1" ht="15">
      <c r="A61" s="3"/>
      <c r="B61" s="4"/>
      <c r="C61" s="419"/>
      <c r="D61" s="4"/>
      <c r="E61" s="4"/>
      <c r="F61" s="27"/>
      <c r="G61" s="27"/>
      <c r="H61" s="27"/>
      <c r="I61" s="27"/>
      <c r="J61" s="27"/>
      <c r="K61" s="27"/>
      <c r="L61" s="27"/>
      <c r="M61" s="27"/>
      <c r="N61" s="420"/>
      <c r="O61" s="420"/>
      <c r="P61" s="27"/>
      <c r="Q61" s="517"/>
      <c r="R61" s="518"/>
      <c r="S61" s="517"/>
      <c r="T61" s="517"/>
      <c r="U61" s="517"/>
      <c r="V61" s="517"/>
      <c r="W61" s="517"/>
      <c r="X61" s="517"/>
      <c r="Y61" s="517"/>
      <c r="Z61" s="517"/>
      <c r="AA61" s="517"/>
      <c r="AB61" s="517"/>
      <c r="AC61" s="517"/>
      <c r="AD61" s="517"/>
      <c r="AE61" s="517"/>
      <c r="AF61" s="517"/>
      <c r="AG61" s="517"/>
      <c r="AH61" s="517"/>
      <c r="AO61" s="257"/>
      <c r="AP61" s="257"/>
      <c r="AQ61" s="257"/>
      <c r="AR61" s="257"/>
      <c r="AS61" s="257"/>
    </row>
    <row r="62" spans="1:45" s="418" customFormat="1" ht="15">
      <c r="A62" s="3"/>
      <c r="B62" s="4"/>
      <c r="C62" s="419"/>
      <c r="D62" s="4"/>
      <c r="E62" s="4"/>
      <c r="F62" s="27"/>
      <c r="G62" s="27"/>
      <c r="H62" s="27"/>
      <c r="I62" s="27"/>
      <c r="J62" s="27"/>
      <c r="K62" s="27"/>
      <c r="L62" s="27"/>
      <c r="M62" s="27"/>
      <c r="N62" s="420"/>
      <c r="O62" s="420"/>
      <c r="P62" s="27"/>
      <c r="Q62" s="517"/>
      <c r="R62" s="518"/>
      <c r="S62" s="517"/>
      <c r="T62" s="517"/>
      <c r="U62" s="517"/>
      <c r="V62" s="517"/>
      <c r="W62" s="517"/>
      <c r="X62" s="517"/>
      <c r="Y62" s="517"/>
      <c r="Z62" s="517"/>
      <c r="AA62" s="517"/>
      <c r="AB62" s="517"/>
      <c r="AC62" s="517"/>
      <c r="AD62" s="517"/>
      <c r="AE62" s="517"/>
      <c r="AF62" s="517"/>
      <c r="AG62" s="517"/>
      <c r="AH62" s="517"/>
      <c r="AO62" s="517"/>
      <c r="AP62" s="517"/>
      <c r="AQ62" s="517"/>
      <c r="AR62" s="517"/>
      <c r="AS62" s="517"/>
    </row>
    <row r="63" spans="1:45" s="418" customFormat="1" ht="15">
      <c r="A63" s="3"/>
      <c r="B63" s="4"/>
      <c r="C63" s="419"/>
      <c r="D63" s="4"/>
      <c r="E63" s="4"/>
      <c r="F63" s="27"/>
      <c r="G63" s="27"/>
      <c r="H63" s="27"/>
      <c r="I63" s="27"/>
      <c r="J63" s="27"/>
      <c r="K63" s="27"/>
      <c r="L63" s="27"/>
      <c r="M63" s="27"/>
      <c r="N63" s="420"/>
      <c r="O63" s="420"/>
      <c r="P63" s="27"/>
      <c r="Q63" s="517"/>
      <c r="R63" s="518"/>
      <c r="S63" s="517"/>
      <c r="T63" s="517"/>
      <c r="U63" s="517"/>
      <c r="V63" s="517"/>
      <c r="W63" s="517"/>
      <c r="X63" s="517"/>
      <c r="Y63" s="517"/>
      <c r="Z63" s="517"/>
      <c r="AA63" s="517"/>
      <c r="AB63" s="517"/>
      <c r="AC63" s="517"/>
      <c r="AD63" s="517"/>
      <c r="AE63" s="517"/>
      <c r="AF63" s="517"/>
      <c r="AG63" s="517"/>
      <c r="AH63" s="517"/>
      <c r="AO63" s="257"/>
      <c r="AP63" s="257"/>
      <c r="AQ63" s="257"/>
      <c r="AR63" s="257"/>
      <c r="AS63" s="257"/>
    </row>
    <row r="64" spans="1:45" s="418" customFormat="1" ht="15">
      <c r="A64" s="3"/>
      <c r="B64" s="4"/>
      <c r="C64" s="419"/>
      <c r="D64" s="4"/>
      <c r="E64" s="4"/>
      <c r="F64" s="27"/>
      <c r="G64" s="27"/>
      <c r="H64" s="27"/>
      <c r="I64" s="27"/>
      <c r="J64" s="27"/>
      <c r="K64" s="27"/>
      <c r="L64" s="27"/>
      <c r="M64" s="27"/>
      <c r="N64" s="420"/>
      <c r="O64" s="420"/>
      <c r="P64" s="27"/>
      <c r="Q64" s="517"/>
      <c r="R64" s="518"/>
      <c r="S64" s="517"/>
      <c r="T64" s="517"/>
      <c r="U64" s="517"/>
      <c r="V64" s="517"/>
      <c r="W64" s="517"/>
      <c r="X64" s="517"/>
      <c r="Y64" s="517"/>
      <c r="Z64" s="517"/>
      <c r="AA64" s="517"/>
      <c r="AB64" s="517"/>
      <c r="AC64" s="517"/>
      <c r="AD64" s="517"/>
      <c r="AE64" s="517"/>
      <c r="AF64" s="517"/>
      <c r="AG64" s="517"/>
      <c r="AH64" s="517"/>
      <c r="AO64" s="257"/>
      <c r="AP64" s="257"/>
      <c r="AQ64" s="257"/>
      <c r="AR64" s="257"/>
      <c r="AS64" s="257"/>
    </row>
    <row r="65" spans="1:45" s="418" customFormat="1" ht="15">
      <c r="A65" s="3"/>
      <c r="B65" s="4"/>
      <c r="C65" s="419"/>
      <c r="D65" s="4"/>
      <c r="E65" s="4"/>
      <c r="F65" s="27"/>
      <c r="G65" s="27"/>
      <c r="H65" s="27"/>
      <c r="I65" s="27"/>
      <c r="J65" s="27"/>
      <c r="K65" s="27"/>
      <c r="L65" s="27"/>
      <c r="M65" s="27"/>
      <c r="N65" s="420"/>
      <c r="O65" s="420"/>
      <c r="P65" s="27"/>
      <c r="Q65" s="517"/>
      <c r="R65" s="518"/>
      <c r="S65" s="517"/>
      <c r="T65" s="517"/>
      <c r="U65" s="517"/>
      <c r="V65" s="517"/>
      <c r="W65" s="517"/>
      <c r="X65" s="517"/>
      <c r="Y65" s="517"/>
      <c r="Z65" s="517"/>
      <c r="AA65" s="517"/>
      <c r="AB65" s="517"/>
      <c r="AC65" s="517"/>
      <c r="AD65" s="517"/>
      <c r="AE65" s="517"/>
      <c r="AF65" s="517"/>
      <c r="AG65" s="517"/>
      <c r="AH65" s="517"/>
      <c r="AO65" s="257"/>
      <c r="AP65" s="257"/>
      <c r="AQ65" s="257"/>
      <c r="AR65" s="257"/>
      <c r="AS65" s="257"/>
    </row>
    <row r="66" spans="1:45" s="418" customFormat="1" ht="15">
      <c r="A66" s="3"/>
      <c r="B66" s="4"/>
      <c r="C66" s="419"/>
      <c r="D66" s="4"/>
      <c r="E66" s="4"/>
      <c r="F66" s="27"/>
      <c r="G66" s="27"/>
      <c r="H66" s="27"/>
      <c r="I66" s="27"/>
      <c r="J66" s="27"/>
      <c r="K66" s="27"/>
      <c r="L66" s="27"/>
      <c r="M66" s="27"/>
      <c r="N66" s="420"/>
      <c r="O66" s="420"/>
      <c r="P66" s="27"/>
      <c r="Q66" s="517"/>
      <c r="R66" s="518"/>
      <c r="S66" s="517"/>
      <c r="T66" s="517"/>
      <c r="U66" s="517"/>
      <c r="V66" s="517"/>
      <c r="W66" s="517"/>
      <c r="X66" s="517"/>
      <c r="Y66" s="517"/>
      <c r="Z66" s="517"/>
      <c r="AA66" s="517"/>
      <c r="AB66" s="517"/>
      <c r="AC66" s="517"/>
      <c r="AD66" s="517"/>
      <c r="AE66" s="517"/>
      <c r="AF66" s="517"/>
      <c r="AG66" s="517"/>
      <c r="AH66" s="517"/>
      <c r="AO66" s="257"/>
      <c r="AP66" s="257"/>
      <c r="AQ66" s="257"/>
      <c r="AR66" s="257"/>
      <c r="AS66" s="257"/>
    </row>
    <row r="67" spans="1:45" s="418" customFormat="1" ht="15">
      <c r="A67" s="3"/>
      <c r="B67" s="4"/>
      <c r="C67" s="419"/>
      <c r="D67" s="4"/>
      <c r="E67" s="4"/>
      <c r="F67" s="27"/>
      <c r="G67" s="27"/>
      <c r="H67" s="27"/>
      <c r="I67" s="27"/>
      <c r="J67" s="27"/>
      <c r="K67" s="27"/>
      <c r="L67" s="27"/>
      <c r="M67" s="27"/>
      <c r="N67" s="420"/>
      <c r="O67" s="420"/>
      <c r="P67" s="27"/>
      <c r="Q67" s="517"/>
      <c r="R67" s="518"/>
      <c r="S67" s="517"/>
      <c r="T67" s="517"/>
      <c r="U67" s="517"/>
      <c r="V67" s="517"/>
      <c r="W67" s="517"/>
      <c r="X67" s="517"/>
      <c r="Y67" s="517"/>
      <c r="Z67" s="517"/>
      <c r="AA67" s="517"/>
      <c r="AB67" s="517"/>
      <c r="AC67" s="517"/>
      <c r="AD67" s="517"/>
      <c r="AE67" s="517"/>
      <c r="AF67" s="517"/>
      <c r="AG67" s="517"/>
      <c r="AH67" s="517"/>
      <c r="AO67" s="257"/>
      <c r="AP67" s="257"/>
      <c r="AQ67" s="257"/>
      <c r="AR67" s="257"/>
      <c r="AS67" s="257"/>
    </row>
    <row r="68" spans="1:45" s="418" customFormat="1" ht="15">
      <c r="A68" s="3"/>
      <c r="B68" s="4"/>
      <c r="C68" s="419"/>
      <c r="D68" s="4"/>
      <c r="E68" s="4"/>
      <c r="F68" s="27"/>
      <c r="G68" s="27"/>
      <c r="H68" s="27"/>
      <c r="I68" s="27"/>
      <c r="J68" s="27"/>
      <c r="K68" s="27"/>
      <c r="L68" s="27"/>
      <c r="M68" s="27"/>
      <c r="N68" s="420"/>
      <c r="O68" s="420"/>
      <c r="P68" s="27"/>
      <c r="Q68" s="517"/>
      <c r="R68" s="518"/>
      <c r="S68" s="517"/>
      <c r="T68" s="517"/>
      <c r="U68" s="517"/>
      <c r="V68" s="517"/>
      <c r="W68" s="517"/>
      <c r="X68" s="517"/>
      <c r="Y68" s="517"/>
      <c r="Z68" s="517"/>
      <c r="AA68" s="517"/>
      <c r="AB68" s="517"/>
      <c r="AC68" s="517"/>
      <c r="AD68" s="517"/>
      <c r="AE68" s="517"/>
      <c r="AF68" s="517"/>
      <c r="AG68" s="517"/>
      <c r="AH68" s="517"/>
      <c r="AO68" s="257"/>
      <c r="AP68" s="257"/>
      <c r="AQ68" s="257"/>
      <c r="AR68" s="257"/>
      <c r="AS68" s="257"/>
    </row>
    <row r="69" spans="1:45" s="418" customFormat="1" ht="15">
      <c r="A69" s="3"/>
      <c r="B69" s="4"/>
      <c r="C69" s="419"/>
      <c r="D69" s="4"/>
      <c r="E69" s="4"/>
      <c r="F69" s="27"/>
      <c r="G69" s="27"/>
      <c r="H69" s="27"/>
      <c r="I69" s="27"/>
      <c r="J69" s="27"/>
      <c r="K69" s="27"/>
      <c r="L69" s="27"/>
      <c r="M69" s="27"/>
      <c r="N69" s="420"/>
      <c r="O69" s="420"/>
      <c r="P69" s="27"/>
      <c r="Q69" s="517"/>
      <c r="R69" s="518"/>
      <c r="S69" s="517"/>
      <c r="T69" s="517"/>
      <c r="U69" s="517"/>
      <c r="V69" s="517"/>
      <c r="W69" s="517"/>
      <c r="X69" s="517"/>
      <c r="Y69" s="517"/>
      <c r="Z69" s="517"/>
      <c r="AA69" s="517"/>
      <c r="AB69" s="517"/>
      <c r="AC69" s="517"/>
      <c r="AD69" s="517"/>
      <c r="AE69" s="517"/>
      <c r="AF69" s="517"/>
      <c r="AG69" s="517"/>
      <c r="AH69" s="517"/>
      <c r="AO69" s="257"/>
      <c r="AP69" s="257"/>
      <c r="AQ69" s="257"/>
      <c r="AR69" s="257"/>
      <c r="AS69" s="257"/>
    </row>
    <row r="70" spans="1:45" s="418" customFormat="1" ht="15">
      <c r="A70" s="3"/>
      <c r="B70" s="4"/>
      <c r="C70" s="419"/>
      <c r="D70" s="4"/>
      <c r="E70" s="4"/>
      <c r="F70" s="27"/>
      <c r="G70" s="27"/>
      <c r="H70" s="27"/>
      <c r="I70" s="27"/>
      <c r="J70" s="27"/>
      <c r="K70" s="27"/>
      <c r="L70" s="27"/>
      <c r="M70" s="27"/>
      <c r="N70" s="420"/>
      <c r="O70" s="420"/>
      <c r="P70" s="27"/>
      <c r="Q70" s="517"/>
      <c r="R70" s="518"/>
      <c r="S70" s="517"/>
      <c r="T70" s="517"/>
      <c r="U70" s="517"/>
      <c r="V70" s="517"/>
      <c r="W70" s="517"/>
      <c r="X70" s="517"/>
      <c r="Y70" s="517"/>
      <c r="Z70" s="517"/>
      <c r="AA70" s="517"/>
      <c r="AB70" s="517"/>
      <c r="AC70" s="517"/>
      <c r="AD70" s="517"/>
      <c r="AE70" s="517"/>
      <c r="AF70" s="517"/>
      <c r="AG70" s="517"/>
      <c r="AH70" s="517"/>
      <c r="AO70" s="257"/>
      <c r="AP70" s="257"/>
      <c r="AQ70" s="257"/>
      <c r="AR70" s="257"/>
      <c r="AS70" s="257"/>
    </row>
    <row r="71" spans="1:45" s="418" customFormat="1" ht="15">
      <c r="A71" s="3"/>
      <c r="B71" s="4"/>
      <c r="C71" s="419"/>
      <c r="D71" s="4"/>
      <c r="E71" s="4"/>
      <c r="F71" s="27"/>
      <c r="G71" s="27"/>
      <c r="H71" s="27"/>
      <c r="I71" s="27"/>
      <c r="J71" s="27"/>
      <c r="K71" s="27"/>
      <c r="L71" s="27"/>
      <c r="M71" s="27"/>
      <c r="N71" s="420"/>
      <c r="O71" s="420"/>
      <c r="P71" s="27"/>
      <c r="Q71" s="517"/>
      <c r="R71" s="518"/>
      <c r="S71" s="517"/>
      <c r="T71" s="517"/>
      <c r="U71" s="517"/>
      <c r="V71" s="517"/>
      <c r="W71" s="517"/>
      <c r="X71" s="517"/>
      <c r="Y71" s="517"/>
      <c r="Z71" s="517"/>
      <c r="AA71" s="517"/>
      <c r="AB71" s="517"/>
      <c r="AC71" s="517"/>
      <c r="AD71" s="517"/>
      <c r="AE71" s="517"/>
      <c r="AF71" s="517"/>
      <c r="AG71" s="517"/>
      <c r="AH71" s="517"/>
      <c r="AO71" s="257"/>
      <c r="AP71" s="257"/>
      <c r="AQ71" s="257"/>
      <c r="AR71" s="257"/>
      <c r="AS71" s="257"/>
    </row>
    <row r="72" spans="1:45" s="418" customFormat="1" ht="15">
      <c r="A72" s="3"/>
      <c r="B72" s="4"/>
      <c r="C72" s="419"/>
      <c r="D72" s="4"/>
      <c r="E72" s="4"/>
      <c r="F72" s="27"/>
      <c r="G72" s="27"/>
      <c r="H72" s="27"/>
      <c r="I72" s="27"/>
      <c r="J72" s="27"/>
      <c r="K72" s="27"/>
      <c r="L72" s="27"/>
      <c r="M72" s="27"/>
      <c r="N72" s="420"/>
      <c r="O72" s="420"/>
      <c r="P72" s="27"/>
      <c r="Q72" s="517"/>
      <c r="R72" s="518"/>
      <c r="S72" s="517"/>
      <c r="T72" s="517"/>
      <c r="U72" s="517"/>
      <c r="V72" s="517"/>
      <c r="W72" s="517"/>
      <c r="X72" s="517"/>
      <c r="Y72" s="517"/>
      <c r="Z72" s="517"/>
      <c r="AA72" s="517"/>
      <c r="AB72" s="517"/>
      <c r="AC72" s="517"/>
      <c r="AD72" s="517"/>
      <c r="AE72" s="517"/>
      <c r="AF72" s="517"/>
      <c r="AG72" s="517"/>
      <c r="AH72" s="517"/>
      <c r="AO72" s="257"/>
      <c r="AP72" s="257"/>
      <c r="AQ72" s="257"/>
      <c r="AR72" s="257"/>
      <c r="AS72" s="257"/>
    </row>
    <row r="73" spans="1:45" s="418" customFormat="1" ht="15">
      <c r="A73" s="3"/>
      <c r="B73" s="4"/>
      <c r="C73" s="419"/>
      <c r="D73" s="4"/>
      <c r="E73" s="4"/>
      <c r="F73" s="27"/>
      <c r="G73" s="27"/>
      <c r="H73" s="27"/>
      <c r="I73" s="27"/>
      <c r="J73" s="27"/>
      <c r="K73" s="27"/>
      <c r="L73" s="27"/>
      <c r="M73" s="27"/>
      <c r="N73" s="420"/>
      <c r="O73" s="420"/>
      <c r="P73" s="27"/>
      <c r="Q73" s="517"/>
      <c r="R73" s="518"/>
      <c r="S73" s="517"/>
      <c r="T73" s="517"/>
      <c r="U73" s="517"/>
      <c r="V73" s="517"/>
      <c r="W73" s="517"/>
      <c r="X73" s="517"/>
      <c r="Y73" s="517"/>
      <c r="Z73" s="517"/>
      <c r="AA73" s="517"/>
      <c r="AB73" s="517"/>
      <c r="AC73" s="517"/>
      <c r="AD73" s="517"/>
      <c r="AE73" s="517"/>
      <c r="AF73" s="517"/>
      <c r="AG73" s="517"/>
      <c r="AH73" s="517"/>
      <c r="AO73" s="257"/>
      <c r="AP73" s="257"/>
      <c r="AQ73" s="257"/>
      <c r="AR73" s="257"/>
      <c r="AS73" s="257"/>
    </row>
    <row r="74" spans="1:45" s="418" customFormat="1" ht="15">
      <c r="A74" s="3"/>
      <c r="B74" s="4"/>
      <c r="C74" s="419"/>
      <c r="D74" s="4"/>
      <c r="E74" s="4"/>
      <c r="F74" s="27"/>
      <c r="G74" s="27"/>
      <c r="H74" s="27"/>
      <c r="I74" s="27"/>
      <c r="J74" s="27"/>
      <c r="K74" s="27"/>
      <c r="L74" s="27"/>
      <c r="M74" s="27"/>
      <c r="N74" s="420"/>
      <c r="O74" s="420"/>
      <c r="P74" s="27"/>
      <c r="Q74" s="517"/>
      <c r="R74" s="518"/>
      <c r="S74" s="517"/>
      <c r="T74" s="517"/>
      <c r="U74" s="517"/>
      <c r="V74" s="517"/>
      <c r="W74" s="517"/>
      <c r="X74" s="517"/>
      <c r="Y74" s="517"/>
      <c r="Z74" s="517"/>
      <c r="AA74" s="517"/>
      <c r="AB74" s="517"/>
      <c r="AC74" s="517"/>
      <c r="AD74" s="517"/>
      <c r="AE74" s="517"/>
      <c r="AF74" s="517"/>
      <c r="AG74" s="517"/>
      <c r="AH74" s="517"/>
      <c r="AO74" s="257"/>
      <c r="AP74" s="257"/>
      <c r="AQ74" s="257"/>
      <c r="AR74" s="257"/>
      <c r="AS74" s="257"/>
    </row>
    <row r="75" spans="1:45" s="418" customFormat="1" ht="15">
      <c r="A75" s="3"/>
      <c r="B75" s="4"/>
      <c r="C75" s="419"/>
      <c r="D75" s="4"/>
      <c r="E75" s="4"/>
      <c r="F75" s="27"/>
      <c r="G75" s="27"/>
      <c r="H75" s="27"/>
      <c r="I75" s="27"/>
      <c r="J75" s="27"/>
      <c r="K75" s="27"/>
      <c r="L75" s="27"/>
      <c r="M75" s="27"/>
      <c r="N75" s="420"/>
      <c r="O75" s="420"/>
      <c r="P75" s="27"/>
      <c r="Q75" s="517"/>
      <c r="R75" s="518"/>
      <c r="S75" s="517"/>
      <c r="T75" s="517"/>
      <c r="U75" s="517"/>
      <c r="V75" s="517"/>
      <c r="W75" s="517"/>
      <c r="X75" s="517"/>
      <c r="Y75" s="517"/>
      <c r="Z75" s="517"/>
      <c r="AA75" s="517"/>
      <c r="AB75" s="517"/>
      <c r="AC75" s="517"/>
      <c r="AD75" s="517"/>
      <c r="AE75" s="517"/>
      <c r="AF75" s="517"/>
      <c r="AG75" s="517"/>
      <c r="AH75" s="517"/>
      <c r="AO75" s="604"/>
      <c r="AP75" s="604"/>
      <c r="AQ75" s="604"/>
      <c r="AR75" s="604"/>
      <c r="AS75" s="604"/>
    </row>
    <row r="76" spans="1:45" s="418" customFormat="1" ht="15">
      <c r="A76" s="3"/>
      <c r="B76" s="4"/>
      <c r="C76" s="419"/>
      <c r="D76" s="4"/>
      <c r="E76" s="4"/>
      <c r="F76" s="27"/>
      <c r="G76" s="27"/>
      <c r="H76" s="27"/>
      <c r="I76" s="27"/>
      <c r="J76" s="27"/>
      <c r="K76" s="27"/>
      <c r="L76" s="27"/>
      <c r="M76" s="27"/>
      <c r="N76" s="420"/>
      <c r="O76" s="420"/>
      <c r="P76" s="27"/>
      <c r="Q76" s="517"/>
      <c r="R76" s="518"/>
      <c r="S76" s="517"/>
      <c r="T76" s="517"/>
      <c r="U76" s="517"/>
      <c r="V76" s="517"/>
      <c r="W76" s="517"/>
      <c r="X76" s="517"/>
      <c r="Y76" s="517"/>
      <c r="Z76" s="517"/>
      <c r="AA76" s="517"/>
      <c r="AB76" s="517"/>
      <c r="AC76" s="517"/>
      <c r="AD76" s="517"/>
      <c r="AE76" s="517"/>
      <c r="AF76" s="517"/>
      <c r="AG76" s="517"/>
      <c r="AH76" s="517"/>
      <c r="AO76" s="604"/>
      <c r="AP76" s="604"/>
      <c r="AQ76" s="604"/>
      <c r="AR76" s="604"/>
      <c r="AS76" s="604"/>
    </row>
    <row r="77" spans="1:45" s="418" customFormat="1" ht="15">
      <c r="A77" s="3"/>
      <c r="B77" s="4"/>
      <c r="C77" s="419"/>
      <c r="D77" s="4"/>
      <c r="E77" s="4"/>
      <c r="F77" s="27"/>
      <c r="G77" s="27"/>
      <c r="H77" s="27"/>
      <c r="I77" s="27"/>
      <c r="J77" s="27"/>
      <c r="K77" s="27"/>
      <c r="L77" s="27"/>
      <c r="M77" s="27"/>
      <c r="N77" s="420"/>
      <c r="O77" s="420"/>
      <c r="P77" s="27"/>
      <c r="Q77" s="517"/>
      <c r="R77" s="518"/>
      <c r="S77" s="517"/>
      <c r="T77" s="517"/>
      <c r="U77" s="517"/>
      <c r="V77" s="517"/>
      <c r="W77" s="517"/>
      <c r="X77" s="517"/>
      <c r="Y77" s="517"/>
      <c r="Z77" s="517"/>
      <c r="AA77" s="517"/>
      <c r="AB77" s="517"/>
      <c r="AC77" s="517"/>
      <c r="AD77" s="517"/>
      <c r="AE77" s="517"/>
      <c r="AF77" s="517"/>
      <c r="AG77" s="517"/>
      <c r="AH77" s="517"/>
      <c r="AO77" s="257"/>
      <c r="AP77" s="257"/>
      <c r="AQ77" s="257"/>
      <c r="AR77" s="257"/>
      <c r="AS77" s="257"/>
    </row>
    <row r="78" spans="1:45" s="418" customFormat="1" ht="15">
      <c r="A78" s="3"/>
      <c r="B78" s="4"/>
      <c r="C78" s="419"/>
      <c r="D78" s="4"/>
      <c r="E78" s="4"/>
      <c r="F78" s="27"/>
      <c r="G78" s="27"/>
      <c r="H78" s="27"/>
      <c r="I78" s="27"/>
      <c r="J78" s="27"/>
      <c r="K78" s="27"/>
      <c r="L78" s="27"/>
      <c r="M78" s="27"/>
      <c r="N78" s="420"/>
      <c r="O78" s="420"/>
      <c r="P78" s="27"/>
      <c r="Q78" s="517"/>
      <c r="R78" s="518"/>
      <c r="S78" s="517"/>
      <c r="T78" s="517"/>
      <c r="U78" s="517"/>
      <c r="V78" s="517"/>
      <c r="W78" s="517"/>
      <c r="X78" s="517"/>
      <c r="Y78" s="517"/>
      <c r="Z78" s="517"/>
      <c r="AA78" s="517"/>
      <c r="AB78" s="517"/>
      <c r="AC78" s="517"/>
      <c r="AD78" s="517"/>
      <c r="AE78" s="517"/>
      <c r="AF78" s="517"/>
      <c r="AG78" s="517"/>
      <c r="AH78" s="517"/>
      <c r="AO78" s="257"/>
      <c r="AP78" s="257"/>
      <c r="AQ78" s="257"/>
      <c r="AR78" s="257"/>
      <c r="AS78" s="257"/>
    </row>
    <row r="79" spans="1:45" s="418" customFormat="1" ht="15">
      <c r="A79" s="3"/>
      <c r="B79" s="4"/>
      <c r="C79" s="419"/>
      <c r="D79" s="4"/>
      <c r="E79" s="4"/>
      <c r="F79" s="27"/>
      <c r="G79" s="27"/>
      <c r="H79" s="27"/>
      <c r="I79" s="27"/>
      <c r="J79" s="27"/>
      <c r="K79" s="27"/>
      <c r="L79" s="27"/>
      <c r="M79" s="27"/>
      <c r="N79" s="420"/>
      <c r="O79" s="420"/>
      <c r="P79" s="27"/>
      <c r="Q79" s="517"/>
      <c r="R79" s="518"/>
      <c r="S79" s="517"/>
      <c r="T79" s="517"/>
      <c r="U79" s="517"/>
      <c r="V79" s="517"/>
      <c r="W79" s="517"/>
      <c r="X79" s="517"/>
      <c r="Y79" s="517"/>
      <c r="Z79" s="517"/>
      <c r="AA79" s="517"/>
      <c r="AB79" s="517"/>
      <c r="AC79" s="517"/>
      <c r="AD79" s="517"/>
      <c r="AE79" s="517"/>
      <c r="AF79" s="517"/>
      <c r="AG79" s="517"/>
      <c r="AH79" s="517"/>
      <c r="AO79" s="257"/>
      <c r="AP79" s="257"/>
      <c r="AQ79" s="257"/>
      <c r="AR79" s="257"/>
      <c r="AS79" s="257"/>
    </row>
    <row r="80" spans="1:45" s="418" customFormat="1" ht="15">
      <c r="A80" s="3"/>
      <c r="B80" s="4"/>
      <c r="C80" s="419"/>
      <c r="D80" s="4"/>
      <c r="E80" s="4"/>
      <c r="F80" s="27"/>
      <c r="G80" s="27"/>
      <c r="H80" s="27"/>
      <c r="I80" s="27"/>
      <c r="J80" s="27"/>
      <c r="K80" s="27"/>
      <c r="L80" s="27"/>
      <c r="M80" s="27"/>
      <c r="N80" s="420"/>
      <c r="O80" s="420"/>
      <c r="P80" s="27"/>
      <c r="Q80" s="517"/>
      <c r="R80" s="518"/>
      <c r="S80" s="517"/>
      <c r="T80" s="517"/>
      <c r="U80" s="517"/>
      <c r="V80" s="517"/>
      <c r="W80" s="517"/>
      <c r="X80" s="517"/>
      <c r="Y80" s="517"/>
      <c r="Z80" s="517"/>
      <c r="AA80" s="517"/>
      <c r="AB80" s="517"/>
      <c r="AC80" s="517"/>
      <c r="AD80" s="517"/>
      <c r="AE80" s="517"/>
      <c r="AF80" s="517"/>
      <c r="AG80" s="517"/>
      <c r="AH80" s="517"/>
      <c r="AO80" s="604"/>
      <c r="AP80" s="604"/>
      <c r="AQ80" s="604"/>
      <c r="AR80" s="604"/>
      <c r="AS80" s="604"/>
    </row>
    <row r="81" spans="1:45" s="418" customFormat="1" ht="15">
      <c r="A81" s="3"/>
      <c r="B81" s="4"/>
      <c r="C81" s="419"/>
      <c r="D81" s="4"/>
      <c r="E81" s="4"/>
      <c r="F81" s="27"/>
      <c r="G81" s="27"/>
      <c r="H81" s="27"/>
      <c r="I81" s="27"/>
      <c r="J81" s="27"/>
      <c r="K81" s="27"/>
      <c r="L81" s="27"/>
      <c r="M81" s="27"/>
      <c r="N81" s="420"/>
      <c r="O81" s="420"/>
      <c r="P81" s="27"/>
      <c r="Q81" s="517"/>
      <c r="R81" s="518"/>
      <c r="S81" s="517"/>
      <c r="T81" s="517"/>
      <c r="U81" s="517"/>
      <c r="V81" s="517"/>
      <c r="W81" s="517"/>
      <c r="X81" s="517"/>
      <c r="Y81" s="517"/>
      <c r="Z81" s="517"/>
      <c r="AA81" s="517"/>
      <c r="AB81" s="517"/>
      <c r="AC81" s="517"/>
      <c r="AD81" s="517"/>
      <c r="AE81" s="517"/>
      <c r="AF81" s="517"/>
      <c r="AG81" s="517"/>
      <c r="AH81" s="517"/>
      <c r="AO81" s="604"/>
      <c r="AP81" s="604"/>
      <c r="AQ81" s="604"/>
      <c r="AR81" s="604"/>
      <c r="AS81" s="604"/>
    </row>
    <row r="82" spans="1:45" s="418" customFormat="1" ht="15">
      <c r="A82" s="3"/>
      <c r="B82" s="4"/>
      <c r="C82" s="419"/>
      <c r="D82" s="4"/>
      <c r="E82" s="4"/>
      <c r="F82" s="27"/>
      <c r="G82" s="27"/>
      <c r="H82" s="27"/>
      <c r="I82" s="27"/>
      <c r="J82" s="27"/>
      <c r="K82" s="27"/>
      <c r="L82" s="27"/>
      <c r="M82" s="27"/>
      <c r="N82" s="420"/>
      <c r="O82" s="420"/>
      <c r="P82" s="27"/>
      <c r="Q82" s="517"/>
      <c r="R82" s="518"/>
      <c r="S82" s="517"/>
      <c r="T82" s="517"/>
      <c r="U82" s="517"/>
      <c r="V82" s="517"/>
      <c r="W82" s="517"/>
      <c r="X82" s="517"/>
      <c r="Y82" s="517"/>
      <c r="Z82" s="517"/>
      <c r="AA82" s="517"/>
      <c r="AB82" s="517"/>
      <c r="AC82" s="517"/>
      <c r="AD82" s="517"/>
      <c r="AE82" s="517"/>
      <c r="AF82" s="517"/>
      <c r="AG82" s="517"/>
      <c r="AH82" s="517"/>
      <c r="AO82" s="257"/>
      <c r="AP82" s="257"/>
      <c r="AQ82" s="257"/>
      <c r="AR82" s="257"/>
      <c r="AS82" s="257"/>
    </row>
    <row r="83" spans="1:45" s="418" customFormat="1" ht="15">
      <c r="A83" s="3"/>
      <c r="B83" s="4"/>
      <c r="C83" s="419"/>
      <c r="D83" s="4"/>
      <c r="E83" s="4"/>
      <c r="F83" s="27"/>
      <c r="G83" s="27"/>
      <c r="H83" s="27"/>
      <c r="I83" s="27"/>
      <c r="J83" s="27"/>
      <c r="K83" s="27"/>
      <c r="L83" s="27"/>
      <c r="M83" s="27"/>
      <c r="N83" s="420"/>
      <c r="O83" s="420"/>
      <c r="P83" s="27"/>
      <c r="Q83" s="517"/>
      <c r="R83" s="518"/>
      <c r="S83" s="517"/>
      <c r="T83" s="517"/>
      <c r="U83" s="517"/>
      <c r="V83" s="517"/>
      <c r="W83" s="517"/>
      <c r="X83" s="517"/>
      <c r="Y83" s="517"/>
      <c r="Z83" s="517"/>
      <c r="AA83" s="517"/>
      <c r="AB83" s="517"/>
      <c r="AC83" s="517"/>
      <c r="AD83" s="517"/>
      <c r="AE83" s="517"/>
      <c r="AF83" s="517"/>
      <c r="AG83" s="517"/>
      <c r="AH83" s="517"/>
      <c r="AO83" s="257"/>
      <c r="AP83" s="257"/>
      <c r="AQ83" s="257"/>
      <c r="AR83" s="257"/>
      <c r="AS83" s="257"/>
    </row>
    <row r="84" spans="1:45" s="418" customFormat="1" ht="15">
      <c r="A84" s="3"/>
      <c r="B84" s="4"/>
      <c r="C84" s="419"/>
      <c r="D84" s="4"/>
      <c r="E84" s="4"/>
      <c r="F84" s="27"/>
      <c r="G84" s="27"/>
      <c r="H84" s="27"/>
      <c r="I84" s="27"/>
      <c r="J84" s="27"/>
      <c r="K84" s="27"/>
      <c r="L84" s="27"/>
      <c r="M84" s="27"/>
      <c r="N84" s="420"/>
      <c r="O84" s="420"/>
      <c r="P84" s="27"/>
      <c r="Q84" s="517"/>
      <c r="R84" s="518"/>
      <c r="S84" s="517"/>
      <c r="T84" s="517"/>
      <c r="U84" s="517"/>
      <c r="V84" s="517"/>
      <c r="W84" s="517"/>
      <c r="X84" s="517"/>
      <c r="Y84" s="517"/>
      <c r="Z84" s="517"/>
      <c r="AA84" s="517"/>
      <c r="AB84" s="517"/>
      <c r="AC84" s="517"/>
      <c r="AD84" s="517"/>
      <c r="AE84" s="517"/>
      <c r="AF84" s="517"/>
      <c r="AG84" s="517"/>
      <c r="AH84" s="517"/>
      <c r="AO84" s="604"/>
      <c r="AP84" s="604"/>
      <c r="AQ84" s="604"/>
      <c r="AR84" s="604"/>
      <c r="AS84" s="604"/>
    </row>
    <row r="85" spans="1:45" s="418" customFormat="1" ht="15">
      <c r="A85" s="3"/>
      <c r="B85" s="4"/>
      <c r="C85" s="419"/>
      <c r="D85" s="4"/>
      <c r="E85" s="4"/>
      <c r="F85" s="27"/>
      <c r="G85" s="27"/>
      <c r="H85" s="27"/>
      <c r="I85" s="27"/>
      <c r="J85" s="27"/>
      <c r="K85" s="27"/>
      <c r="L85" s="27"/>
      <c r="M85" s="27"/>
      <c r="N85" s="420"/>
      <c r="O85" s="420"/>
      <c r="P85" s="27"/>
      <c r="Q85" s="517"/>
      <c r="R85" s="518"/>
      <c r="S85" s="517"/>
      <c r="T85" s="517"/>
      <c r="U85" s="517"/>
      <c r="V85" s="517"/>
      <c r="W85" s="517"/>
      <c r="X85" s="517"/>
      <c r="Y85" s="517"/>
      <c r="Z85" s="517"/>
      <c r="AA85" s="517"/>
      <c r="AB85" s="517"/>
      <c r="AC85" s="517"/>
      <c r="AD85" s="517"/>
      <c r="AE85" s="517"/>
      <c r="AF85" s="517"/>
      <c r="AG85" s="517"/>
      <c r="AH85" s="517"/>
      <c r="AO85" s="257"/>
      <c r="AP85" s="257"/>
      <c r="AQ85" s="257"/>
      <c r="AR85" s="257"/>
      <c r="AS85" s="257"/>
    </row>
    <row r="86" spans="1:45" s="418" customFormat="1" ht="15">
      <c r="A86" s="3"/>
      <c r="B86" s="4"/>
      <c r="C86" s="419"/>
      <c r="D86" s="4"/>
      <c r="E86" s="4"/>
      <c r="F86" s="27"/>
      <c r="G86" s="27"/>
      <c r="H86" s="27"/>
      <c r="I86" s="27"/>
      <c r="J86" s="27"/>
      <c r="K86" s="27"/>
      <c r="L86" s="27"/>
      <c r="M86" s="27"/>
      <c r="N86" s="420"/>
      <c r="O86" s="420"/>
      <c r="P86" s="27"/>
      <c r="Q86" s="517"/>
      <c r="R86" s="518"/>
      <c r="S86" s="517"/>
      <c r="T86" s="517"/>
      <c r="U86" s="517"/>
      <c r="V86" s="517"/>
      <c r="W86" s="517"/>
      <c r="X86" s="517"/>
      <c r="Y86" s="517"/>
      <c r="Z86" s="517"/>
      <c r="AA86" s="517"/>
      <c r="AB86" s="517"/>
      <c r="AC86" s="517"/>
      <c r="AD86" s="517"/>
      <c r="AE86" s="517"/>
      <c r="AF86" s="517"/>
      <c r="AG86" s="517"/>
      <c r="AH86" s="517"/>
      <c r="AO86" s="257"/>
      <c r="AP86" s="257"/>
      <c r="AQ86" s="257"/>
      <c r="AR86" s="257"/>
      <c r="AS86" s="257"/>
    </row>
    <row r="87" spans="1:45" s="418" customFormat="1" ht="15">
      <c r="A87" s="3"/>
      <c r="B87" s="4"/>
      <c r="C87" s="419"/>
      <c r="D87" s="4"/>
      <c r="E87" s="4"/>
      <c r="F87" s="27"/>
      <c r="G87" s="27"/>
      <c r="H87" s="27"/>
      <c r="I87" s="27"/>
      <c r="J87" s="27"/>
      <c r="K87" s="27"/>
      <c r="L87" s="27"/>
      <c r="M87" s="27"/>
      <c r="N87" s="420"/>
      <c r="O87" s="420"/>
      <c r="P87" s="27"/>
      <c r="Q87" s="517"/>
      <c r="R87" s="518"/>
      <c r="S87" s="517"/>
      <c r="T87" s="517"/>
      <c r="U87" s="517"/>
      <c r="V87" s="517"/>
      <c r="W87" s="517"/>
      <c r="X87" s="517"/>
      <c r="Y87" s="517"/>
      <c r="Z87" s="517"/>
      <c r="AA87" s="517"/>
      <c r="AB87" s="517"/>
      <c r="AC87" s="517"/>
      <c r="AD87" s="517"/>
      <c r="AE87" s="517"/>
      <c r="AF87" s="517"/>
      <c r="AG87" s="517"/>
      <c r="AH87" s="517"/>
      <c r="AO87" s="257"/>
      <c r="AP87" s="257"/>
      <c r="AQ87" s="257"/>
      <c r="AR87" s="257"/>
      <c r="AS87" s="257"/>
    </row>
    <row r="88" spans="1:45" s="418" customFormat="1" ht="15">
      <c r="A88" s="3"/>
      <c r="B88" s="4"/>
      <c r="C88" s="419"/>
      <c r="D88" s="4"/>
      <c r="E88" s="4"/>
      <c r="F88" s="27"/>
      <c r="G88" s="27"/>
      <c r="H88" s="27"/>
      <c r="I88" s="27"/>
      <c r="J88" s="27"/>
      <c r="K88" s="27"/>
      <c r="L88" s="27"/>
      <c r="M88" s="27"/>
      <c r="N88" s="420"/>
      <c r="O88" s="420"/>
      <c r="P88" s="27"/>
      <c r="Q88" s="517"/>
      <c r="R88" s="518"/>
      <c r="S88" s="517"/>
      <c r="T88" s="517"/>
      <c r="U88" s="517"/>
      <c r="V88" s="517"/>
      <c r="W88" s="517"/>
      <c r="X88" s="517"/>
      <c r="Y88" s="517"/>
      <c r="Z88" s="517"/>
      <c r="AA88" s="517"/>
      <c r="AB88" s="517"/>
      <c r="AC88" s="517"/>
      <c r="AD88" s="517"/>
      <c r="AE88" s="517"/>
      <c r="AF88" s="517"/>
      <c r="AG88" s="517"/>
      <c r="AH88" s="517"/>
      <c r="AO88" s="517"/>
      <c r="AP88" s="517"/>
      <c r="AQ88" s="517"/>
      <c r="AR88" s="517"/>
      <c r="AS88" s="517"/>
    </row>
    <row r="89" spans="1:45" ht="12.75">
      <c r="A89" s="670"/>
      <c r="B89" s="670"/>
      <c r="C89" s="254"/>
      <c r="D89" s="254"/>
      <c r="E89" s="254"/>
      <c r="F89" s="254"/>
      <c r="G89" s="254"/>
      <c r="H89" s="254"/>
      <c r="I89" s="254"/>
      <c r="J89" s="254"/>
      <c r="K89" s="254"/>
      <c r="L89" s="254"/>
      <c r="M89" s="254"/>
      <c r="P89" s="254"/>
      <c r="AO89" s="257"/>
      <c r="AP89" s="257"/>
      <c r="AQ89" s="257"/>
      <c r="AR89" s="257"/>
      <c r="AS89" s="257"/>
    </row>
    <row r="90" spans="1:45" ht="12.75">
      <c r="A90" s="254"/>
      <c r="B90" s="254"/>
      <c r="C90" s="254"/>
      <c r="D90" s="254"/>
      <c r="E90" s="254"/>
      <c r="F90" s="254"/>
      <c r="G90" s="254"/>
      <c r="H90" s="254"/>
      <c r="I90" s="254"/>
      <c r="J90" s="254"/>
      <c r="K90" s="254"/>
      <c r="L90" s="254"/>
      <c r="M90" s="254"/>
      <c r="P90" s="254"/>
      <c r="AO90" s="257"/>
      <c r="AP90" s="257"/>
      <c r="AQ90" s="257"/>
      <c r="AR90" s="257"/>
      <c r="AS90" s="257"/>
    </row>
    <row r="91" spans="1:45" ht="12.75">
      <c r="A91" s="256"/>
      <c r="D91" s="253"/>
      <c r="E91" s="253"/>
      <c r="AO91" s="257"/>
      <c r="AP91" s="257"/>
      <c r="AQ91" s="257"/>
      <c r="AR91" s="257"/>
      <c r="AS91" s="257"/>
    </row>
    <row r="92" spans="1:45" ht="12.75">
      <c r="A92" s="256"/>
      <c r="D92" s="253"/>
      <c r="E92" s="253"/>
      <c r="AO92" s="257"/>
      <c r="AP92" s="257"/>
      <c r="AQ92" s="257"/>
      <c r="AR92" s="257"/>
      <c r="AS92" s="257"/>
    </row>
    <row r="93" spans="1:45" ht="12.75">
      <c r="A93" s="256"/>
      <c r="D93" s="253"/>
      <c r="E93" s="253"/>
      <c r="AO93" s="257"/>
      <c r="AP93" s="257"/>
      <c r="AQ93" s="257"/>
      <c r="AR93" s="257"/>
      <c r="AS93" s="257"/>
    </row>
    <row r="94" spans="1:45" ht="12.75">
      <c r="A94" s="256"/>
      <c r="D94" s="253"/>
      <c r="E94" s="253"/>
      <c r="AO94" s="604"/>
      <c r="AP94" s="604"/>
      <c r="AQ94" s="604"/>
      <c r="AR94" s="604"/>
      <c r="AS94" s="604"/>
    </row>
    <row r="95" spans="1:45" ht="12.75">
      <c r="A95" s="256"/>
      <c r="D95" s="253"/>
      <c r="E95" s="253"/>
      <c r="AO95" s="257"/>
      <c r="AP95" s="257"/>
      <c r="AQ95" s="257"/>
      <c r="AR95" s="257"/>
      <c r="AS95" s="257"/>
    </row>
    <row r="96" spans="1:45" ht="12.75">
      <c r="A96" s="256"/>
      <c r="D96" s="253"/>
      <c r="E96" s="253"/>
      <c r="AO96" s="604"/>
      <c r="AP96" s="604"/>
      <c r="AQ96" s="604"/>
      <c r="AR96" s="604"/>
      <c r="AS96" s="604"/>
    </row>
    <row r="97" spans="1:45" ht="12.75">
      <c r="A97" s="256"/>
      <c r="B97" s="277"/>
      <c r="D97" s="253"/>
      <c r="E97" s="253"/>
      <c r="AO97" s="604"/>
      <c r="AP97" s="604"/>
      <c r="AQ97" s="604"/>
      <c r="AR97" s="604"/>
      <c r="AS97" s="604"/>
    </row>
    <row r="98" spans="1:45" ht="12.75">
      <c r="A98" s="256"/>
      <c r="D98" s="253"/>
      <c r="E98" s="253"/>
      <c r="AO98" s="257"/>
      <c r="AP98" s="257"/>
      <c r="AQ98" s="257"/>
      <c r="AR98" s="257"/>
      <c r="AS98" s="257"/>
    </row>
    <row r="99" spans="1:45" ht="12.75">
      <c r="A99" s="256"/>
      <c r="D99" s="253"/>
      <c r="E99" s="253"/>
      <c r="AO99" s="257"/>
      <c r="AP99" s="257"/>
      <c r="AQ99" s="257"/>
      <c r="AR99" s="257"/>
      <c r="AS99" s="257"/>
    </row>
    <row r="100" spans="1:45" ht="12.75">
      <c r="A100" s="256"/>
      <c r="D100" s="253"/>
      <c r="E100" s="253"/>
      <c r="AO100" s="257"/>
      <c r="AP100" s="257"/>
      <c r="AQ100" s="257"/>
      <c r="AR100" s="257"/>
      <c r="AS100" s="257"/>
    </row>
    <row r="101" spans="1:45" ht="12.75">
      <c r="A101" s="256"/>
      <c r="D101" s="253"/>
      <c r="E101" s="253"/>
      <c r="AO101" s="517"/>
      <c r="AP101" s="517"/>
      <c r="AQ101" s="517"/>
      <c r="AR101" s="517"/>
      <c r="AS101" s="517"/>
    </row>
    <row r="102" spans="1:45" ht="12.75">
      <c r="A102" s="256"/>
      <c r="D102" s="253"/>
      <c r="E102" s="253"/>
      <c r="AO102" s="257"/>
      <c r="AP102" s="257"/>
      <c r="AQ102" s="257"/>
      <c r="AR102" s="257"/>
      <c r="AS102" s="257"/>
    </row>
    <row r="103" spans="1:45" ht="12.75">
      <c r="A103" s="256"/>
      <c r="D103" s="253"/>
      <c r="E103" s="253"/>
      <c r="AO103" s="257"/>
      <c r="AP103" s="257"/>
      <c r="AQ103" s="257"/>
      <c r="AR103" s="257"/>
      <c r="AS103" s="257"/>
    </row>
    <row r="104" spans="1:45" ht="12.75">
      <c r="A104" s="256"/>
      <c r="D104" s="253"/>
      <c r="E104" s="253"/>
      <c r="AO104" s="604"/>
      <c r="AP104" s="604"/>
      <c r="AQ104" s="604"/>
      <c r="AR104" s="604"/>
      <c r="AS104" s="604"/>
    </row>
    <row r="105" spans="1:45" ht="12.75">
      <c r="A105" s="256"/>
      <c r="D105" s="253"/>
      <c r="E105" s="253"/>
      <c r="AO105" s="517"/>
      <c r="AP105" s="517"/>
      <c r="AQ105" s="517"/>
      <c r="AR105" s="517"/>
      <c r="AS105" s="517"/>
    </row>
    <row r="106" spans="1:45" ht="12.75">
      <c r="A106" s="256"/>
      <c r="D106" s="253"/>
      <c r="E106" s="253"/>
      <c r="AO106" s="257"/>
      <c r="AP106" s="257"/>
      <c r="AQ106" s="257"/>
      <c r="AR106" s="257"/>
      <c r="AS106" s="257"/>
    </row>
    <row r="107" spans="1:45" ht="12.75">
      <c r="A107" s="256"/>
      <c r="D107" s="253"/>
      <c r="E107" s="253"/>
      <c r="AO107" s="257"/>
      <c r="AP107" s="257"/>
      <c r="AQ107" s="257"/>
      <c r="AR107" s="257"/>
      <c r="AS107" s="257"/>
    </row>
    <row r="108" spans="1:45" ht="12.75">
      <c r="A108" s="256"/>
      <c r="D108" s="253"/>
      <c r="E108" s="253"/>
      <c r="AO108" s="257"/>
      <c r="AP108" s="257"/>
      <c r="AQ108" s="257"/>
      <c r="AR108" s="257"/>
      <c r="AS108" s="257"/>
    </row>
    <row r="109" spans="1:45" ht="12.75">
      <c r="A109" s="256"/>
      <c r="D109" s="253"/>
      <c r="E109" s="253"/>
      <c r="AO109" s="257"/>
      <c r="AP109" s="257"/>
      <c r="AQ109" s="257"/>
      <c r="AR109" s="257"/>
      <c r="AS109" s="257"/>
    </row>
    <row r="110" spans="1:45" ht="12.75">
      <c r="A110" s="256"/>
      <c r="D110" s="253"/>
      <c r="E110" s="253"/>
      <c r="AO110" s="257"/>
      <c r="AP110" s="257"/>
      <c r="AQ110" s="257"/>
      <c r="AR110" s="257"/>
      <c r="AS110" s="257"/>
    </row>
    <row r="111" spans="1:45" ht="12.75">
      <c r="A111" s="256"/>
      <c r="D111" s="253"/>
      <c r="E111" s="253"/>
      <c r="AO111" s="257"/>
      <c r="AP111" s="257"/>
      <c r="AQ111" s="257"/>
      <c r="AR111" s="257"/>
      <c r="AS111" s="257"/>
    </row>
    <row r="112" spans="1:45" ht="12.75">
      <c r="A112" s="256"/>
      <c r="D112" s="253"/>
      <c r="E112" s="253"/>
      <c r="AO112" s="257"/>
      <c r="AP112" s="257"/>
      <c r="AQ112" s="257"/>
      <c r="AR112" s="257"/>
      <c r="AS112" s="257"/>
    </row>
    <row r="113" spans="1:45" ht="12.75">
      <c r="A113" s="256"/>
      <c r="D113" s="253"/>
      <c r="E113" s="253"/>
      <c r="AO113" s="257"/>
      <c r="AP113" s="257"/>
      <c r="AQ113" s="257"/>
      <c r="AR113" s="257"/>
      <c r="AS113" s="257"/>
    </row>
    <row r="114" spans="1:45" ht="12.75">
      <c r="A114" s="256"/>
      <c r="D114" s="253"/>
      <c r="E114" s="253"/>
      <c r="AO114" s="257"/>
      <c r="AP114" s="257"/>
      <c r="AQ114" s="257"/>
      <c r="AR114" s="257"/>
      <c r="AS114" s="257"/>
    </row>
    <row r="115" spans="1:45" ht="12.75">
      <c r="A115" s="256"/>
      <c r="D115" s="253"/>
      <c r="E115" s="253"/>
      <c r="AO115" s="604"/>
      <c r="AP115" s="604"/>
      <c r="AQ115" s="604"/>
      <c r="AR115" s="604"/>
      <c r="AS115" s="604"/>
    </row>
    <row r="116" spans="1:45" ht="12.75">
      <c r="A116" s="256"/>
      <c r="D116" s="253"/>
      <c r="E116" s="253"/>
      <c r="AO116" s="257"/>
      <c r="AP116" s="257"/>
      <c r="AQ116" s="257"/>
      <c r="AR116" s="257"/>
      <c r="AS116" s="257"/>
    </row>
    <row r="117" spans="1:45" ht="12.75">
      <c r="A117" s="256"/>
      <c r="D117" s="253"/>
      <c r="E117" s="253"/>
      <c r="AO117" s="517"/>
      <c r="AP117" s="517"/>
      <c r="AQ117" s="517"/>
      <c r="AR117" s="517"/>
      <c r="AS117" s="517"/>
    </row>
    <row r="118" spans="1:45" ht="12.75">
      <c r="A118" s="256"/>
      <c r="D118" s="253"/>
      <c r="E118" s="253"/>
      <c r="AO118" s="604"/>
      <c r="AP118" s="604"/>
      <c r="AQ118" s="604"/>
      <c r="AR118" s="604"/>
      <c r="AS118" s="604"/>
    </row>
    <row r="119" spans="1:45" ht="12.75">
      <c r="A119" s="256"/>
      <c r="D119" s="253"/>
      <c r="E119" s="253"/>
      <c r="AO119" s="257"/>
      <c r="AP119" s="257"/>
      <c r="AQ119" s="257"/>
      <c r="AR119" s="257"/>
      <c r="AS119" s="257"/>
    </row>
    <row r="120" spans="1:45" ht="12.75">
      <c r="A120" s="256"/>
      <c r="D120" s="253"/>
      <c r="E120" s="253"/>
      <c r="AO120" s="257"/>
      <c r="AP120" s="257"/>
      <c r="AQ120" s="257"/>
      <c r="AR120" s="257"/>
      <c r="AS120" s="257"/>
    </row>
    <row r="121" spans="1:45" ht="12.75">
      <c r="A121" s="256"/>
      <c r="D121" s="253"/>
      <c r="E121" s="253"/>
      <c r="AO121" s="604"/>
      <c r="AP121" s="604"/>
      <c r="AQ121" s="604"/>
      <c r="AR121" s="604"/>
      <c r="AS121" s="604"/>
    </row>
    <row r="122" spans="1:45" ht="12.75">
      <c r="A122" s="256"/>
      <c r="D122" s="253"/>
      <c r="E122" s="253"/>
      <c r="AO122" s="517"/>
      <c r="AP122" s="517"/>
      <c r="AQ122" s="517"/>
      <c r="AR122" s="517"/>
      <c r="AS122" s="517"/>
    </row>
    <row r="123" spans="1:45" ht="12.75">
      <c r="A123" s="256"/>
      <c r="D123" s="253"/>
      <c r="E123" s="253"/>
      <c r="AO123" s="257"/>
      <c r="AP123" s="257"/>
      <c r="AQ123" s="257"/>
      <c r="AR123" s="257"/>
      <c r="AS123" s="257"/>
    </row>
    <row r="124" spans="1:45" ht="12.75">
      <c r="A124" s="256"/>
      <c r="D124" s="253"/>
      <c r="E124" s="253"/>
      <c r="AO124" s="257"/>
      <c r="AP124" s="257"/>
      <c r="AQ124" s="257"/>
      <c r="AR124" s="257"/>
      <c r="AS124" s="257"/>
    </row>
    <row r="125" spans="1:45" ht="12.75">
      <c r="A125" s="256"/>
      <c r="D125" s="253"/>
      <c r="E125" s="253"/>
      <c r="AO125" s="257"/>
      <c r="AP125" s="257"/>
      <c r="AQ125" s="257"/>
      <c r="AR125" s="257"/>
      <c r="AS125" s="257"/>
    </row>
    <row r="126" spans="1:45" ht="12.75">
      <c r="A126" s="256"/>
      <c r="D126" s="253"/>
      <c r="E126" s="253"/>
      <c r="AO126" s="517"/>
      <c r="AP126" s="517"/>
      <c r="AQ126" s="517"/>
      <c r="AR126" s="517"/>
      <c r="AS126" s="517"/>
    </row>
    <row r="127" spans="1:45" ht="12.75">
      <c r="A127" s="256"/>
      <c r="D127" s="253"/>
      <c r="E127" s="253"/>
      <c r="AO127" s="257"/>
      <c r="AP127" s="257"/>
      <c r="AQ127" s="257"/>
      <c r="AR127" s="257"/>
      <c r="AS127" s="257"/>
    </row>
    <row r="128" spans="1:45" ht="12.75">
      <c r="A128" s="256"/>
      <c r="D128" s="253"/>
      <c r="E128" s="253"/>
      <c r="AO128" s="257"/>
      <c r="AP128" s="257"/>
      <c r="AQ128" s="257"/>
      <c r="AR128" s="257"/>
      <c r="AS128" s="257"/>
    </row>
    <row r="129" spans="1:45" ht="12.75">
      <c r="A129" s="256"/>
      <c r="D129" s="253"/>
      <c r="E129" s="253"/>
      <c r="AO129" s="604"/>
      <c r="AP129" s="604"/>
      <c r="AQ129" s="604"/>
      <c r="AR129" s="604"/>
      <c r="AS129" s="604"/>
    </row>
    <row r="130" spans="1:45" ht="12.75">
      <c r="A130" s="256"/>
      <c r="D130" s="253"/>
      <c r="E130" s="253"/>
      <c r="AO130" s="257"/>
      <c r="AP130" s="257"/>
      <c r="AQ130" s="257"/>
      <c r="AR130" s="257"/>
      <c r="AS130" s="257"/>
    </row>
    <row r="131" spans="1:45" ht="12.75">
      <c r="A131" s="256"/>
      <c r="D131" s="253"/>
      <c r="E131" s="253"/>
      <c r="AO131" s="604"/>
      <c r="AP131" s="604"/>
      <c r="AQ131" s="604"/>
      <c r="AR131" s="604"/>
      <c r="AS131" s="604"/>
    </row>
    <row r="132" spans="1:45" ht="12.75">
      <c r="A132" s="256"/>
      <c r="D132" s="253"/>
      <c r="E132" s="253"/>
      <c r="AO132" s="257"/>
      <c r="AP132" s="257"/>
      <c r="AQ132" s="257"/>
      <c r="AR132" s="257"/>
      <c r="AS132" s="257"/>
    </row>
    <row r="133" spans="1:45" ht="12.75">
      <c r="A133" s="256"/>
      <c r="D133" s="253"/>
      <c r="E133" s="253"/>
      <c r="AO133" s="257"/>
      <c r="AP133" s="257"/>
      <c r="AQ133" s="257"/>
      <c r="AR133" s="257"/>
      <c r="AS133" s="257"/>
    </row>
    <row r="134" spans="1:45" ht="12.75">
      <c r="A134" s="256"/>
      <c r="D134" s="253"/>
      <c r="E134" s="253"/>
      <c r="AO134" s="257"/>
      <c r="AP134" s="257"/>
      <c r="AQ134" s="257"/>
      <c r="AR134" s="257"/>
      <c r="AS134" s="257"/>
    </row>
    <row r="135" spans="1:45" ht="12.75">
      <c r="A135" s="256"/>
      <c r="D135" s="253"/>
      <c r="E135" s="253"/>
      <c r="AO135" s="257"/>
      <c r="AP135" s="257"/>
      <c r="AQ135" s="257"/>
      <c r="AR135" s="257"/>
      <c r="AS135" s="257"/>
    </row>
    <row r="136" spans="1:45" ht="12.75">
      <c r="A136" s="256"/>
      <c r="D136" s="253"/>
      <c r="E136" s="253"/>
      <c r="AO136" s="604"/>
      <c r="AP136" s="604"/>
      <c r="AQ136" s="604"/>
      <c r="AR136" s="604"/>
      <c r="AS136" s="604"/>
    </row>
    <row r="137" spans="1:45" ht="12.75">
      <c r="A137" s="256"/>
      <c r="D137" s="253"/>
      <c r="E137" s="253"/>
      <c r="AO137" s="257"/>
      <c r="AP137" s="257"/>
      <c r="AQ137" s="257"/>
      <c r="AR137" s="257"/>
      <c r="AS137" s="257"/>
    </row>
    <row r="138" spans="1:45" ht="12.75">
      <c r="A138" s="256"/>
      <c r="D138" s="253"/>
      <c r="E138" s="253"/>
      <c r="AO138" s="257"/>
      <c r="AP138" s="257"/>
      <c r="AQ138" s="257"/>
      <c r="AR138" s="257"/>
      <c r="AS138" s="257"/>
    </row>
    <row r="139" spans="1:45" ht="12.75">
      <c r="A139" s="256"/>
      <c r="D139" s="253"/>
      <c r="E139" s="253"/>
      <c r="AO139" s="517"/>
      <c r="AP139" s="517"/>
      <c r="AQ139" s="517"/>
      <c r="AR139" s="517"/>
      <c r="AS139" s="517"/>
    </row>
    <row r="140" spans="1:45" ht="12.75">
      <c r="A140" s="256"/>
      <c r="D140" s="253"/>
      <c r="E140" s="253"/>
      <c r="AO140" s="257"/>
      <c r="AP140" s="257"/>
      <c r="AQ140" s="257"/>
      <c r="AR140" s="257"/>
      <c r="AS140" s="257"/>
    </row>
    <row r="141" spans="1:45" ht="12.75">
      <c r="A141" s="256"/>
      <c r="D141" s="253"/>
      <c r="E141" s="253"/>
      <c r="AO141" s="257"/>
      <c r="AP141" s="257"/>
      <c r="AQ141" s="257"/>
      <c r="AR141" s="257"/>
      <c r="AS141" s="257"/>
    </row>
    <row r="142" spans="1:45" ht="12.75">
      <c r="A142" s="256"/>
      <c r="D142" s="253"/>
      <c r="E142" s="253"/>
      <c r="AO142" s="604"/>
      <c r="AP142" s="604"/>
      <c r="AQ142" s="604"/>
      <c r="AR142" s="604"/>
      <c r="AS142" s="604"/>
    </row>
    <row r="143" spans="1:45" ht="12.75">
      <c r="A143" s="256"/>
      <c r="D143" s="253"/>
      <c r="E143" s="253"/>
      <c r="AO143" s="257"/>
      <c r="AP143" s="257"/>
      <c r="AQ143" s="257"/>
      <c r="AR143" s="257"/>
      <c r="AS143" s="257"/>
    </row>
    <row r="144" spans="1:45" ht="12.75">
      <c r="A144" s="256"/>
      <c r="D144" s="253"/>
      <c r="E144" s="253"/>
      <c r="AO144" s="257"/>
      <c r="AP144" s="257"/>
      <c r="AQ144" s="257"/>
      <c r="AR144" s="257"/>
      <c r="AS144" s="257"/>
    </row>
    <row r="145" spans="1:45" ht="12.75">
      <c r="A145" s="256"/>
      <c r="D145" s="253"/>
      <c r="E145" s="253"/>
      <c r="AO145" s="257"/>
      <c r="AP145" s="257"/>
      <c r="AQ145" s="257"/>
      <c r="AR145" s="257"/>
      <c r="AS145" s="257"/>
    </row>
    <row r="146" spans="1:45" ht="12.75">
      <c r="A146" s="256"/>
      <c r="D146" s="253"/>
      <c r="E146" s="253"/>
      <c r="AO146" s="257"/>
      <c r="AP146" s="257"/>
      <c r="AQ146" s="257"/>
      <c r="AR146" s="257"/>
      <c r="AS146" s="257"/>
    </row>
    <row r="147" spans="1:45" ht="12.75">
      <c r="A147" s="256"/>
      <c r="D147" s="253"/>
      <c r="E147" s="253"/>
      <c r="AO147" s="257"/>
      <c r="AP147" s="257"/>
      <c r="AQ147" s="257"/>
      <c r="AR147" s="257"/>
      <c r="AS147" s="257"/>
    </row>
    <row r="148" spans="1:45" ht="12.75">
      <c r="A148" s="256"/>
      <c r="D148" s="253"/>
      <c r="E148" s="253"/>
      <c r="AO148" s="604"/>
      <c r="AP148" s="604"/>
      <c r="AQ148" s="604"/>
      <c r="AR148" s="604"/>
      <c r="AS148" s="604"/>
    </row>
    <row r="149" spans="1:45" ht="12.75">
      <c r="A149" s="256"/>
      <c r="D149" s="253"/>
      <c r="E149" s="253"/>
      <c r="AO149" s="257"/>
      <c r="AP149" s="257"/>
      <c r="AQ149" s="257"/>
      <c r="AR149" s="257"/>
      <c r="AS149" s="257"/>
    </row>
    <row r="150" spans="1:45" ht="12.75">
      <c r="A150" s="256"/>
      <c r="D150" s="253"/>
      <c r="E150" s="253"/>
      <c r="AO150" s="604"/>
      <c r="AP150" s="604"/>
      <c r="AQ150" s="604"/>
      <c r="AR150" s="604"/>
      <c r="AS150" s="604"/>
    </row>
    <row r="151" spans="1:45" ht="12.75">
      <c r="A151" s="256"/>
      <c r="D151" s="253"/>
      <c r="E151" s="253"/>
      <c r="AO151" s="257"/>
      <c r="AP151" s="257"/>
      <c r="AQ151" s="257"/>
      <c r="AR151" s="257"/>
      <c r="AS151" s="257"/>
    </row>
    <row r="152" spans="1:45" ht="12.75">
      <c r="A152" s="256"/>
      <c r="D152" s="253"/>
      <c r="E152" s="253"/>
      <c r="AO152" s="604"/>
      <c r="AP152" s="604"/>
      <c r="AQ152" s="604"/>
      <c r="AR152" s="604"/>
      <c r="AS152" s="604"/>
    </row>
    <row r="153" spans="1:45" ht="12.75">
      <c r="A153" s="256"/>
      <c r="D153" s="253"/>
      <c r="E153" s="253"/>
      <c r="AO153" s="257"/>
      <c r="AP153" s="257"/>
      <c r="AQ153" s="257"/>
      <c r="AR153" s="257"/>
      <c r="AS153" s="257"/>
    </row>
    <row r="154" spans="1:45" ht="12.75">
      <c r="A154" s="256"/>
      <c r="D154" s="253"/>
      <c r="E154" s="253"/>
      <c r="AO154" s="257"/>
      <c r="AP154" s="257"/>
      <c r="AQ154" s="257"/>
      <c r="AR154" s="257"/>
      <c r="AS154" s="257"/>
    </row>
    <row r="155" spans="1:45" ht="12.75">
      <c r="A155" s="256"/>
      <c r="D155" s="253"/>
      <c r="E155" s="253"/>
      <c r="AO155" s="604"/>
      <c r="AP155" s="604"/>
      <c r="AQ155" s="604"/>
      <c r="AR155" s="604"/>
      <c r="AS155" s="604"/>
    </row>
    <row r="156" spans="1:45" ht="12.75">
      <c r="A156" s="256"/>
      <c r="D156" s="253"/>
      <c r="E156" s="253"/>
      <c r="AO156" s="257"/>
      <c r="AP156" s="257"/>
      <c r="AQ156" s="257"/>
      <c r="AR156" s="257"/>
      <c r="AS156" s="257"/>
    </row>
    <row r="157" spans="1:45" ht="12.75">
      <c r="A157" s="256"/>
      <c r="D157" s="253"/>
      <c r="E157" s="253"/>
      <c r="AO157" s="517"/>
      <c r="AP157" s="517"/>
      <c r="AQ157" s="517"/>
      <c r="AR157" s="517"/>
      <c r="AS157" s="517"/>
    </row>
    <row r="158" spans="1:45" ht="12.75">
      <c r="A158" s="256"/>
      <c r="D158" s="253"/>
      <c r="E158" s="253"/>
      <c r="AO158" s="257"/>
      <c r="AP158" s="257"/>
      <c r="AQ158" s="257"/>
      <c r="AR158" s="257"/>
      <c r="AS158" s="257"/>
    </row>
    <row r="159" spans="1:45" ht="12.75">
      <c r="A159" s="256"/>
      <c r="D159" s="253"/>
      <c r="E159" s="253"/>
      <c r="AO159" s="257"/>
      <c r="AP159" s="257"/>
      <c r="AQ159" s="257"/>
      <c r="AR159" s="257"/>
      <c r="AS159" s="257"/>
    </row>
    <row r="160" spans="1:45" ht="12.75">
      <c r="A160" s="256"/>
      <c r="D160" s="253"/>
      <c r="E160" s="253"/>
      <c r="AO160" s="257"/>
      <c r="AP160" s="257"/>
      <c r="AQ160" s="257"/>
      <c r="AR160" s="257"/>
      <c r="AS160" s="257"/>
    </row>
    <row r="161" spans="1:45" ht="12.75">
      <c r="A161" s="256"/>
      <c r="D161" s="253"/>
      <c r="E161" s="253"/>
      <c r="AO161" s="604"/>
      <c r="AP161" s="604"/>
      <c r="AQ161" s="604"/>
      <c r="AR161" s="604"/>
      <c r="AS161" s="604"/>
    </row>
    <row r="162" spans="1:45" ht="12.75">
      <c r="A162" s="256"/>
      <c r="D162" s="253"/>
      <c r="E162" s="253"/>
      <c r="AO162" s="257"/>
      <c r="AP162" s="257"/>
      <c r="AQ162" s="257"/>
      <c r="AR162" s="257"/>
      <c r="AS162" s="257"/>
    </row>
    <row r="163" spans="1:45" ht="12.75">
      <c r="A163" s="256"/>
      <c r="D163" s="253"/>
      <c r="E163" s="253"/>
      <c r="AO163" s="257"/>
      <c r="AP163" s="257"/>
      <c r="AQ163" s="257"/>
      <c r="AR163" s="257"/>
      <c r="AS163" s="257"/>
    </row>
    <row r="164" spans="1:45" ht="12.75">
      <c r="A164" s="256"/>
      <c r="D164" s="253"/>
      <c r="E164" s="253"/>
      <c r="AO164" s="257"/>
      <c r="AP164" s="257"/>
      <c r="AQ164" s="257"/>
      <c r="AR164" s="257"/>
      <c r="AS164" s="257"/>
    </row>
    <row r="165" spans="1:45" ht="12.75">
      <c r="A165" s="256"/>
      <c r="D165" s="253"/>
      <c r="E165" s="253"/>
      <c r="AO165" s="257"/>
      <c r="AP165" s="257"/>
      <c r="AQ165" s="257"/>
      <c r="AR165" s="257"/>
      <c r="AS165" s="257"/>
    </row>
    <row r="166" spans="1:45" ht="12.75">
      <c r="A166" s="256"/>
      <c r="D166" s="253"/>
      <c r="E166" s="253"/>
      <c r="AO166" s="257"/>
      <c r="AP166" s="257"/>
      <c r="AQ166" s="257"/>
      <c r="AR166" s="257"/>
      <c r="AS166" s="257"/>
    </row>
    <row r="167" spans="1:45" ht="12.75">
      <c r="A167" s="256"/>
      <c r="D167" s="253"/>
      <c r="E167" s="253"/>
      <c r="AO167" s="257"/>
      <c r="AP167" s="257"/>
      <c r="AQ167" s="257"/>
      <c r="AR167" s="257"/>
      <c r="AS167" s="257"/>
    </row>
    <row r="168" spans="1:45" ht="12.75">
      <c r="A168" s="256"/>
      <c r="D168" s="253"/>
      <c r="E168" s="253"/>
      <c r="AO168" s="257"/>
      <c r="AP168" s="257"/>
      <c r="AQ168" s="257"/>
      <c r="AR168" s="257"/>
      <c r="AS168" s="257"/>
    </row>
    <row r="169" spans="1:45" ht="12.75">
      <c r="A169" s="256"/>
      <c r="D169" s="253"/>
      <c r="E169" s="253"/>
      <c r="AO169" s="517"/>
      <c r="AP169" s="517"/>
      <c r="AQ169" s="517"/>
      <c r="AR169" s="517"/>
      <c r="AS169" s="517"/>
    </row>
    <row r="170" spans="1:45" ht="12.75">
      <c r="A170" s="256"/>
      <c r="D170" s="253"/>
      <c r="E170" s="253"/>
      <c r="AO170" s="257"/>
      <c r="AP170" s="257"/>
      <c r="AQ170" s="257"/>
      <c r="AR170" s="257"/>
      <c r="AS170" s="257"/>
    </row>
    <row r="171" spans="1:45" ht="12.75">
      <c r="A171" s="256"/>
      <c r="D171" s="253"/>
      <c r="E171" s="253"/>
      <c r="AO171" s="604"/>
      <c r="AP171" s="604"/>
      <c r="AQ171" s="604"/>
      <c r="AR171" s="604"/>
      <c r="AS171" s="604"/>
    </row>
    <row r="172" spans="1:45" ht="12.75">
      <c r="A172" s="256"/>
      <c r="D172" s="253"/>
      <c r="E172" s="253"/>
      <c r="AO172" s="257"/>
      <c r="AP172" s="257"/>
      <c r="AQ172" s="257"/>
      <c r="AR172" s="257"/>
      <c r="AS172" s="257"/>
    </row>
    <row r="173" spans="1:45" ht="12.75">
      <c r="A173" s="256"/>
      <c r="D173" s="253"/>
      <c r="E173" s="253"/>
      <c r="AO173" s="604"/>
      <c r="AP173" s="604"/>
      <c r="AQ173" s="604"/>
      <c r="AR173" s="604"/>
      <c r="AS173" s="604"/>
    </row>
    <row r="174" spans="1:45" ht="12.75">
      <c r="A174" s="256"/>
      <c r="D174" s="253"/>
      <c r="E174" s="253"/>
      <c r="AO174" s="257"/>
      <c r="AP174" s="257"/>
      <c r="AQ174" s="257"/>
      <c r="AR174" s="257"/>
      <c r="AS174" s="257"/>
    </row>
    <row r="175" spans="1:45" ht="12.75">
      <c r="A175" s="256"/>
      <c r="D175" s="253"/>
      <c r="E175" s="253"/>
      <c r="AO175" s="257"/>
      <c r="AP175" s="257"/>
      <c r="AQ175" s="257"/>
      <c r="AR175" s="257"/>
      <c r="AS175" s="257"/>
    </row>
    <row r="176" spans="1:45" ht="12.75">
      <c r="A176" s="256"/>
      <c r="D176" s="253"/>
      <c r="E176" s="253"/>
      <c r="AO176" s="517"/>
      <c r="AP176" s="517"/>
      <c r="AQ176" s="517"/>
      <c r="AR176" s="517"/>
      <c r="AS176" s="517"/>
    </row>
    <row r="177" spans="1:45" ht="12.75">
      <c r="A177" s="253"/>
      <c r="D177" s="253"/>
      <c r="E177" s="253"/>
      <c r="AO177" s="257"/>
      <c r="AP177" s="257"/>
      <c r="AQ177" s="257"/>
      <c r="AR177" s="257"/>
      <c r="AS177" s="257"/>
    </row>
    <row r="178" spans="1:45" ht="12.75">
      <c r="A178" s="253"/>
      <c r="D178" s="253"/>
      <c r="E178" s="253"/>
      <c r="AO178" s="257"/>
      <c r="AP178" s="257"/>
      <c r="AQ178" s="257"/>
      <c r="AR178" s="257"/>
      <c r="AS178" s="257"/>
    </row>
    <row r="179" spans="1:45" ht="12.75">
      <c r="A179" s="253"/>
      <c r="D179" s="253"/>
      <c r="E179" s="253"/>
      <c r="AO179" s="257"/>
      <c r="AP179" s="257"/>
      <c r="AQ179" s="257"/>
      <c r="AR179" s="257"/>
      <c r="AS179" s="257"/>
    </row>
    <row r="180" spans="1:45" ht="12.75">
      <c r="A180" s="253"/>
      <c r="D180" s="253"/>
      <c r="E180" s="253"/>
      <c r="AO180" s="257"/>
      <c r="AP180" s="257"/>
      <c r="AQ180" s="257"/>
      <c r="AR180" s="257"/>
      <c r="AS180" s="257"/>
    </row>
    <row r="181" spans="1:45" ht="12.75">
      <c r="A181" s="253"/>
      <c r="D181" s="253"/>
      <c r="E181" s="253"/>
      <c r="AO181" s="257"/>
      <c r="AP181" s="257"/>
      <c r="AQ181" s="257"/>
      <c r="AR181" s="257"/>
      <c r="AS181" s="257"/>
    </row>
    <row r="182" spans="1:45" ht="12.75">
      <c r="A182" s="253"/>
      <c r="D182" s="253"/>
      <c r="E182" s="253"/>
      <c r="AO182" s="604"/>
      <c r="AP182" s="604"/>
      <c r="AQ182" s="604"/>
      <c r="AR182" s="604"/>
      <c r="AS182" s="604"/>
    </row>
    <row r="183" spans="1:45" ht="12.75">
      <c r="A183" s="253"/>
      <c r="D183" s="253"/>
      <c r="E183" s="253"/>
      <c r="AO183" s="257"/>
      <c r="AP183" s="257"/>
      <c r="AQ183" s="257"/>
      <c r="AR183" s="257"/>
      <c r="AS183" s="257"/>
    </row>
    <row r="184" spans="1:45" ht="12.75">
      <c r="A184" s="253"/>
      <c r="D184" s="253"/>
      <c r="E184" s="253"/>
      <c r="AO184" s="257"/>
      <c r="AP184" s="257"/>
      <c r="AQ184" s="257"/>
      <c r="AR184" s="257"/>
      <c r="AS184" s="257"/>
    </row>
    <row r="185" spans="1:45" ht="12.75">
      <c r="A185" s="253"/>
      <c r="D185" s="253"/>
      <c r="E185" s="253"/>
      <c r="AO185" s="257"/>
      <c r="AP185" s="257"/>
      <c r="AQ185" s="257"/>
      <c r="AR185" s="257"/>
      <c r="AS185" s="257"/>
    </row>
    <row r="186" spans="1:45" ht="12.75">
      <c r="A186" s="253"/>
      <c r="D186" s="253"/>
      <c r="E186" s="253"/>
      <c r="AO186" s="257"/>
      <c r="AP186" s="257"/>
      <c r="AQ186" s="257"/>
      <c r="AR186" s="257"/>
      <c r="AS186" s="257"/>
    </row>
    <row r="187" spans="1:45" ht="12.75">
      <c r="A187" s="253"/>
      <c r="D187" s="253"/>
      <c r="E187" s="253"/>
      <c r="AO187" s="257"/>
      <c r="AP187" s="257"/>
      <c r="AQ187" s="257"/>
      <c r="AR187" s="257"/>
      <c r="AS187" s="257"/>
    </row>
    <row r="188" spans="1:45" ht="12.75">
      <c r="A188" s="253"/>
      <c r="D188" s="253"/>
      <c r="E188" s="253"/>
      <c r="AO188" s="257"/>
      <c r="AP188" s="257"/>
      <c r="AQ188" s="257"/>
      <c r="AR188" s="257"/>
      <c r="AS188" s="257"/>
    </row>
    <row r="189" spans="1:45" ht="12.75">
      <c r="A189" s="253"/>
      <c r="D189" s="253"/>
      <c r="E189" s="253"/>
      <c r="AO189" s="257"/>
      <c r="AP189" s="257"/>
      <c r="AQ189" s="257"/>
      <c r="AR189" s="257"/>
      <c r="AS189" s="257"/>
    </row>
    <row r="190" spans="1:45" ht="12.75">
      <c r="A190" s="253"/>
      <c r="D190" s="253"/>
      <c r="E190" s="253"/>
      <c r="AO190" s="517"/>
      <c r="AP190" s="517"/>
      <c r="AQ190" s="517"/>
      <c r="AR190" s="517"/>
      <c r="AS190" s="517"/>
    </row>
    <row r="191" spans="1:45" ht="12.75">
      <c r="A191" s="253"/>
      <c r="D191" s="253"/>
      <c r="E191" s="253"/>
      <c r="AO191" s="257"/>
      <c r="AP191" s="257"/>
      <c r="AQ191" s="257"/>
      <c r="AR191" s="257"/>
      <c r="AS191" s="257"/>
    </row>
    <row r="192" spans="1:45" ht="12.75">
      <c r="A192" s="253"/>
      <c r="D192" s="253"/>
      <c r="E192" s="253"/>
      <c r="AO192" s="604"/>
      <c r="AP192" s="604"/>
      <c r="AQ192" s="604"/>
      <c r="AR192" s="604"/>
      <c r="AS192" s="604"/>
    </row>
    <row r="193" spans="1:45" ht="12.75">
      <c r="A193" s="253"/>
      <c r="D193" s="253"/>
      <c r="E193" s="253"/>
      <c r="AO193" s="604"/>
      <c r="AP193" s="604"/>
      <c r="AQ193" s="604"/>
      <c r="AR193" s="604"/>
      <c r="AS193" s="604"/>
    </row>
    <row r="194" spans="1:45" ht="12.75">
      <c r="A194" s="253"/>
      <c r="D194" s="253"/>
      <c r="E194" s="253"/>
      <c r="AO194" s="604"/>
      <c r="AP194" s="604"/>
      <c r="AQ194" s="604"/>
      <c r="AR194" s="604"/>
      <c r="AS194" s="604"/>
    </row>
    <row r="195" spans="1:45" ht="12.75">
      <c r="A195" s="253"/>
      <c r="D195" s="253"/>
      <c r="E195" s="253"/>
      <c r="AO195" s="257"/>
      <c r="AP195" s="257"/>
      <c r="AQ195" s="257"/>
      <c r="AR195" s="257"/>
      <c r="AS195" s="257"/>
    </row>
    <row r="196" spans="1:45" ht="12.75">
      <c r="A196" s="253"/>
      <c r="D196" s="253"/>
      <c r="E196" s="253"/>
      <c r="AO196" s="257"/>
      <c r="AP196" s="257"/>
      <c r="AQ196" s="257"/>
      <c r="AR196" s="257"/>
      <c r="AS196" s="257"/>
    </row>
    <row r="197" spans="1:45" ht="12.75">
      <c r="A197" s="253"/>
      <c r="D197" s="253"/>
      <c r="E197" s="253"/>
      <c r="AO197" s="257"/>
      <c r="AP197" s="257"/>
      <c r="AQ197" s="257"/>
      <c r="AR197" s="257"/>
      <c r="AS197" s="257"/>
    </row>
    <row r="198" spans="1:45" ht="12.75">
      <c r="A198" s="253"/>
      <c r="D198" s="253"/>
      <c r="E198" s="253"/>
      <c r="AO198" s="257"/>
      <c r="AP198" s="257"/>
      <c r="AQ198" s="257"/>
      <c r="AR198" s="257"/>
      <c r="AS198" s="257"/>
    </row>
    <row r="199" spans="1:45" ht="12.75">
      <c r="A199" s="253"/>
      <c r="D199" s="253"/>
      <c r="E199" s="253"/>
      <c r="AO199" s="257"/>
      <c r="AP199" s="257"/>
      <c r="AQ199" s="257"/>
      <c r="AR199" s="257"/>
      <c r="AS199" s="257"/>
    </row>
    <row r="200" spans="1:45" ht="12.75">
      <c r="A200" s="253"/>
      <c r="D200" s="253"/>
      <c r="E200" s="253"/>
      <c r="AO200" s="257"/>
      <c r="AP200" s="257"/>
      <c r="AQ200" s="257"/>
      <c r="AR200" s="257"/>
      <c r="AS200" s="257"/>
    </row>
    <row r="201" spans="1:45" ht="12.75">
      <c r="A201" s="253"/>
      <c r="D201" s="253"/>
      <c r="E201" s="253"/>
      <c r="AO201" s="257"/>
      <c r="AP201" s="257"/>
      <c r="AQ201" s="257"/>
      <c r="AR201" s="257"/>
      <c r="AS201" s="257"/>
    </row>
    <row r="202" spans="1:45" ht="12.75">
      <c r="A202" s="253"/>
      <c r="D202" s="253"/>
      <c r="E202" s="253"/>
      <c r="AO202" s="257"/>
      <c r="AP202" s="257"/>
      <c r="AQ202" s="257"/>
      <c r="AR202" s="257"/>
      <c r="AS202" s="257"/>
    </row>
    <row r="203" spans="1:45" ht="12.75">
      <c r="A203" s="253"/>
      <c r="D203" s="253"/>
      <c r="E203" s="253"/>
      <c r="AO203" s="517"/>
      <c r="AP203" s="517"/>
      <c r="AQ203" s="517"/>
      <c r="AR203" s="517"/>
      <c r="AS203" s="517"/>
    </row>
    <row r="204" spans="1:45" ht="12.75">
      <c r="A204" s="253"/>
      <c r="D204" s="253"/>
      <c r="E204" s="253"/>
      <c r="AO204" s="257"/>
      <c r="AP204" s="257"/>
      <c r="AQ204" s="257"/>
      <c r="AR204" s="257"/>
      <c r="AS204" s="257"/>
    </row>
    <row r="205" spans="1:45" ht="12.75">
      <c r="A205" s="253"/>
      <c r="D205" s="253"/>
      <c r="E205" s="253"/>
      <c r="AO205" s="257"/>
      <c r="AP205" s="257"/>
      <c r="AQ205" s="257"/>
      <c r="AR205" s="257"/>
      <c r="AS205" s="257"/>
    </row>
    <row r="206" spans="1:45" ht="12.75">
      <c r="A206" s="253"/>
      <c r="D206" s="253"/>
      <c r="E206" s="253"/>
      <c r="AO206" s="257"/>
      <c r="AP206" s="257"/>
      <c r="AQ206" s="257"/>
      <c r="AR206" s="257"/>
      <c r="AS206" s="257"/>
    </row>
    <row r="207" spans="1:45" ht="12.75">
      <c r="A207" s="253"/>
      <c r="D207" s="253"/>
      <c r="E207" s="253"/>
      <c r="AO207" s="257"/>
      <c r="AP207" s="257"/>
      <c r="AQ207" s="257"/>
      <c r="AR207" s="257"/>
      <c r="AS207" s="257"/>
    </row>
    <row r="208" spans="1:45" ht="12.75">
      <c r="A208" s="253"/>
      <c r="D208" s="253"/>
      <c r="E208" s="253"/>
      <c r="AO208" s="257"/>
      <c r="AP208" s="257"/>
      <c r="AQ208" s="257"/>
      <c r="AR208" s="257"/>
      <c r="AS208" s="257"/>
    </row>
    <row r="209" spans="1:45" ht="12.75">
      <c r="A209" s="253"/>
      <c r="D209" s="253"/>
      <c r="E209" s="253"/>
      <c r="AO209" s="257"/>
      <c r="AP209" s="257"/>
      <c r="AQ209" s="257"/>
      <c r="AR209" s="257"/>
      <c r="AS209" s="257"/>
    </row>
    <row r="210" spans="1:45" ht="12.75">
      <c r="A210" s="253"/>
      <c r="D210" s="253"/>
      <c r="E210" s="253"/>
      <c r="AO210" s="257"/>
      <c r="AP210" s="257"/>
      <c r="AQ210" s="257"/>
      <c r="AR210" s="257"/>
      <c r="AS210" s="257"/>
    </row>
    <row r="211" spans="1:45" ht="12.75">
      <c r="A211" s="253"/>
      <c r="D211" s="253"/>
      <c r="E211" s="253"/>
      <c r="AO211" s="257"/>
      <c r="AP211" s="257"/>
      <c r="AQ211" s="257"/>
      <c r="AR211" s="257"/>
      <c r="AS211" s="257"/>
    </row>
    <row r="212" spans="1:45" ht="12.75">
      <c r="A212" s="253"/>
      <c r="D212" s="253"/>
      <c r="E212" s="253"/>
      <c r="AO212" s="257"/>
      <c r="AP212" s="257"/>
      <c r="AQ212" s="257"/>
      <c r="AR212" s="257"/>
      <c r="AS212" s="257"/>
    </row>
    <row r="213" spans="1:45" ht="12.75">
      <c r="A213" s="253"/>
      <c r="D213" s="253"/>
      <c r="E213" s="253"/>
      <c r="AO213" s="517"/>
      <c r="AP213" s="517"/>
      <c r="AQ213" s="517"/>
      <c r="AR213" s="517"/>
      <c r="AS213" s="517"/>
    </row>
    <row r="214" spans="1:45" ht="12.75">
      <c r="A214" s="253"/>
      <c r="D214" s="253"/>
      <c r="E214" s="253"/>
      <c r="AO214" s="257"/>
      <c r="AP214" s="257"/>
      <c r="AQ214" s="257"/>
      <c r="AR214" s="257"/>
      <c r="AS214" s="257"/>
    </row>
    <row r="215" spans="1:45" ht="12.75">
      <c r="A215" s="253"/>
      <c r="D215" s="253"/>
      <c r="E215" s="253"/>
      <c r="AO215" s="517"/>
      <c r="AP215" s="517"/>
      <c r="AQ215" s="517"/>
      <c r="AR215" s="517"/>
      <c r="AS215" s="517"/>
    </row>
    <row r="216" spans="1:45" ht="12.75">
      <c r="A216" s="253"/>
      <c r="D216" s="253"/>
      <c r="E216" s="253"/>
      <c r="AO216" s="257"/>
      <c r="AP216" s="257"/>
      <c r="AQ216" s="257"/>
      <c r="AR216" s="257"/>
      <c r="AS216" s="257"/>
    </row>
    <row r="217" spans="1:45" ht="12.75">
      <c r="A217" s="253"/>
      <c r="D217" s="253"/>
      <c r="E217" s="253"/>
      <c r="AO217" s="257"/>
      <c r="AP217" s="257"/>
      <c r="AQ217" s="257"/>
      <c r="AR217" s="257"/>
      <c r="AS217" s="257"/>
    </row>
    <row r="218" spans="1:45" ht="12.75">
      <c r="A218" s="253"/>
      <c r="D218" s="253"/>
      <c r="E218" s="253"/>
      <c r="AO218" s="257"/>
      <c r="AP218" s="257"/>
      <c r="AQ218" s="257"/>
      <c r="AR218" s="257"/>
      <c r="AS218" s="257"/>
    </row>
    <row r="219" spans="1:45" ht="12.75">
      <c r="A219" s="253"/>
      <c r="D219" s="253"/>
      <c r="E219" s="253"/>
      <c r="AO219" s="257"/>
      <c r="AP219" s="257"/>
      <c r="AQ219" s="257"/>
      <c r="AR219" s="257"/>
      <c r="AS219" s="257"/>
    </row>
    <row r="220" spans="1:45" ht="12.75">
      <c r="A220" s="253"/>
      <c r="D220" s="253"/>
      <c r="E220" s="253"/>
      <c r="AO220" s="257"/>
      <c r="AP220" s="257"/>
      <c r="AQ220" s="257"/>
      <c r="AR220" s="257"/>
      <c r="AS220" s="257"/>
    </row>
    <row r="221" spans="1:45" ht="12.75">
      <c r="A221" s="253"/>
      <c r="D221" s="253"/>
      <c r="E221" s="253"/>
      <c r="AO221" s="604"/>
      <c r="AP221" s="604"/>
      <c r="AQ221" s="604"/>
      <c r="AR221" s="604"/>
      <c r="AS221" s="604"/>
    </row>
    <row r="222" spans="1:45" ht="12.75">
      <c r="A222" s="253"/>
      <c r="D222" s="253"/>
      <c r="E222" s="253"/>
      <c r="AO222" s="604"/>
      <c r="AP222" s="604"/>
      <c r="AQ222" s="604"/>
      <c r="AR222" s="604"/>
      <c r="AS222" s="604"/>
    </row>
    <row r="223" spans="1:45" ht="12.75">
      <c r="A223" s="253"/>
      <c r="D223" s="253"/>
      <c r="E223" s="253"/>
      <c r="AO223" s="257"/>
      <c r="AP223" s="257"/>
      <c r="AQ223" s="257"/>
      <c r="AR223" s="257"/>
      <c r="AS223" s="257"/>
    </row>
    <row r="224" spans="1:45" ht="12.75">
      <c r="A224" s="253"/>
      <c r="D224" s="253"/>
      <c r="E224" s="253"/>
      <c r="AO224" s="257"/>
      <c r="AP224" s="257"/>
      <c r="AQ224" s="257"/>
      <c r="AR224" s="257"/>
      <c r="AS224" s="257"/>
    </row>
    <row r="225" spans="1:45" ht="12.75">
      <c r="A225" s="253"/>
      <c r="D225" s="253"/>
      <c r="E225" s="253"/>
      <c r="AO225" s="257"/>
      <c r="AP225" s="257"/>
      <c r="AQ225" s="257"/>
      <c r="AR225" s="257"/>
      <c r="AS225" s="257"/>
    </row>
    <row r="226" spans="1:45" ht="12.75">
      <c r="A226" s="253"/>
      <c r="D226" s="253"/>
      <c r="E226" s="253"/>
      <c r="AO226" s="257"/>
      <c r="AP226" s="257"/>
      <c r="AQ226" s="257"/>
      <c r="AR226" s="257"/>
      <c r="AS226" s="257"/>
    </row>
    <row r="227" spans="1:45" ht="12.75">
      <c r="A227" s="253"/>
      <c r="D227" s="253"/>
      <c r="E227" s="253"/>
      <c r="AO227" s="604"/>
      <c r="AP227" s="604"/>
      <c r="AQ227" s="604"/>
      <c r="AR227" s="604"/>
      <c r="AS227" s="604"/>
    </row>
    <row r="228" spans="1:45" ht="12.75">
      <c r="A228" s="253"/>
      <c r="D228" s="253"/>
      <c r="E228" s="253"/>
      <c r="AO228" s="257"/>
      <c r="AP228" s="257"/>
      <c r="AQ228" s="257"/>
      <c r="AR228" s="257"/>
      <c r="AS228" s="257"/>
    </row>
    <row r="229" spans="1:45" ht="12.75">
      <c r="A229" s="253"/>
      <c r="D229" s="253"/>
      <c r="E229" s="253"/>
      <c r="AO229" s="257"/>
      <c r="AP229" s="257"/>
      <c r="AQ229" s="257"/>
      <c r="AR229" s="257"/>
      <c r="AS229" s="257"/>
    </row>
    <row r="230" spans="1:45" ht="12.75">
      <c r="A230" s="253"/>
      <c r="D230" s="253"/>
      <c r="E230" s="253"/>
      <c r="AO230" s="257"/>
      <c r="AP230" s="257"/>
      <c r="AQ230" s="257"/>
      <c r="AR230" s="257"/>
      <c r="AS230" s="257"/>
    </row>
    <row r="231" spans="1:45" ht="12.75">
      <c r="A231" s="253"/>
      <c r="D231" s="253"/>
      <c r="E231" s="253"/>
      <c r="AO231" s="257"/>
      <c r="AP231" s="257"/>
      <c r="AQ231" s="257"/>
      <c r="AR231" s="257"/>
      <c r="AS231" s="257"/>
    </row>
    <row r="232" spans="1:45" ht="12.75">
      <c r="A232" s="253"/>
      <c r="D232" s="253"/>
      <c r="E232" s="253"/>
      <c r="AO232" s="257"/>
      <c r="AP232" s="257"/>
      <c r="AQ232" s="257"/>
      <c r="AR232" s="257"/>
      <c r="AS232" s="257"/>
    </row>
    <row r="233" spans="1:45" ht="12.75">
      <c r="A233" s="253"/>
      <c r="D233" s="253"/>
      <c r="E233" s="253"/>
      <c r="AO233" s="257"/>
      <c r="AP233" s="257"/>
      <c r="AQ233" s="257"/>
      <c r="AR233" s="257"/>
      <c r="AS233" s="257"/>
    </row>
    <row r="234" spans="1:45" ht="12.75">
      <c r="A234" s="253"/>
      <c r="D234" s="253"/>
      <c r="E234" s="253"/>
      <c r="AO234" s="517"/>
      <c r="AP234" s="517"/>
      <c r="AQ234" s="517"/>
      <c r="AR234" s="517"/>
      <c r="AS234" s="517"/>
    </row>
    <row r="235" spans="1:45" ht="12.75">
      <c r="A235" s="253"/>
      <c r="D235" s="253"/>
      <c r="E235" s="253"/>
      <c r="AO235" s="257"/>
      <c r="AP235" s="257"/>
      <c r="AQ235" s="257"/>
      <c r="AR235" s="257"/>
      <c r="AS235" s="257"/>
    </row>
    <row r="236" spans="1:45" ht="12.75">
      <c r="A236" s="253"/>
      <c r="D236" s="253"/>
      <c r="E236" s="253"/>
      <c r="AO236" s="517"/>
      <c r="AP236" s="517"/>
      <c r="AQ236" s="517"/>
      <c r="AR236" s="517"/>
      <c r="AS236" s="517"/>
    </row>
    <row r="237" spans="1:45" ht="12.75">
      <c r="A237" s="253"/>
      <c r="D237" s="253"/>
      <c r="E237" s="253"/>
      <c r="AO237" s="604"/>
      <c r="AP237" s="604"/>
      <c r="AQ237" s="604"/>
      <c r="AR237" s="604"/>
      <c r="AS237" s="604"/>
    </row>
    <row r="238" spans="1:45" ht="12.75">
      <c r="A238" s="253"/>
      <c r="D238" s="253"/>
      <c r="E238" s="253"/>
      <c r="AO238" s="257"/>
      <c r="AP238" s="257"/>
      <c r="AQ238" s="257"/>
      <c r="AR238" s="257"/>
      <c r="AS238" s="257"/>
    </row>
    <row r="239" spans="1:45" ht="12.75">
      <c r="A239" s="253"/>
      <c r="D239" s="253"/>
      <c r="E239" s="253"/>
      <c r="AO239" s="257"/>
      <c r="AP239" s="257"/>
      <c r="AQ239" s="257"/>
      <c r="AR239" s="257"/>
      <c r="AS239" s="257"/>
    </row>
    <row r="240" spans="1:45" ht="12.75">
      <c r="A240" s="253"/>
      <c r="D240" s="253"/>
      <c r="E240" s="253"/>
      <c r="AO240" s="604"/>
      <c r="AP240" s="604"/>
      <c r="AQ240" s="604"/>
      <c r="AR240" s="604"/>
      <c r="AS240" s="604"/>
    </row>
    <row r="241" spans="1:45" ht="12.75">
      <c r="A241" s="253"/>
      <c r="D241" s="253"/>
      <c r="E241" s="253"/>
      <c r="AO241" s="257"/>
      <c r="AP241" s="257"/>
      <c r="AQ241" s="257"/>
      <c r="AR241" s="257"/>
      <c r="AS241" s="257"/>
    </row>
    <row r="242" spans="1:45" ht="12.75">
      <c r="A242" s="253"/>
      <c r="D242" s="253"/>
      <c r="E242" s="253"/>
      <c r="AO242" s="604"/>
      <c r="AP242" s="604"/>
      <c r="AQ242" s="604"/>
      <c r="AR242" s="604"/>
      <c r="AS242" s="604"/>
    </row>
    <row r="243" spans="1:45" ht="12.75">
      <c r="A243" s="253"/>
      <c r="D243" s="253"/>
      <c r="E243" s="253"/>
      <c r="AO243" s="604"/>
      <c r="AP243" s="604"/>
      <c r="AQ243" s="604"/>
      <c r="AR243" s="604"/>
      <c r="AS243" s="604"/>
    </row>
    <row r="244" spans="1:45" ht="12.75">
      <c r="A244" s="253"/>
      <c r="D244" s="253"/>
      <c r="E244" s="253"/>
      <c r="AO244" s="257"/>
      <c r="AP244" s="257"/>
      <c r="AQ244" s="257"/>
      <c r="AR244" s="257"/>
      <c r="AS244" s="257"/>
    </row>
    <row r="245" spans="1:45" ht="12.75">
      <c r="A245" s="253"/>
      <c r="D245" s="253"/>
      <c r="E245" s="253"/>
      <c r="AO245" s="257"/>
      <c r="AP245" s="257"/>
      <c r="AQ245" s="257"/>
      <c r="AR245" s="257"/>
      <c r="AS245" s="257"/>
    </row>
    <row r="246" spans="1:45" ht="12.75">
      <c r="A246" s="253"/>
      <c r="D246" s="253"/>
      <c r="E246" s="253"/>
      <c r="AO246" s="257"/>
      <c r="AP246" s="257"/>
      <c r="AQ246" s="257"/>
      <c r="AR246" s="257"/>
      <c r="AS246" s="257"/>
    </row>
    <row r="247" spans="1:45" ht="12.75">
      <c r="A247" s="253"/>
      <c r="D247" s="253"/>
      <c r="E247" s="253"/>
      <c r="AO247" s="257"/>
      <c r="AP247" s="257"/>
      <c r="AQ247" s="257"/>
      <c r="AR247" s="257"/>
      <c r="AS247" s="257"/>
    </row>
    <row r="248" spans="1:45" ht="12.75">
      <c r="A248" s="253"/>
      <c r="D248" s="253"/>
      <c r="E248" s="253"/>
      <c r="AO248" s="517"/>
      <c r="AP248" s="517"/>
      <c r="AQ248" s="517"/>
      <c r="AR248" s="517"/>
      <c r="AS248" s="517"/>
    </row>
    <row r="249" spans="1:45" ht="12.75">
      <c r="A249" s="253"/>
      <c r="D249" s="253"/>
      <c r="E249" s="253"/>
      <c r="AO249" s="257"/>
      <c r="AP249" s="257"/>
      <c r="AQ249" s="257"/>
      <c r="AR249" s="257"/>
      <c r="AS249" s="257"/>
    </row>
    <row r="250" spans="1:45" ht="12.75">
      <c r="A250" s="253"/>
      <c r="D250" s="253"/>
      <c r="E250" s="253"/>
      <c r="AO250" s="604"/>
      <c r="AP250" s="604"/>
      <c r="AQ250" s="604"/>
      <c r="AR250" s="604"/>
      <c r="AS250" s="604"/>
    </row>
    <row r="251" spans="1:45" ht="12.75">
      <c r="A251" s="253"/>
      <c r="D251" s="253"/>
      <c r="E251" s="253"/>
      <c r="AO251" s="257"/>
      <c r="AP251" s="257"/>
      <c r="AQ251" s="257"/>
      <c r="AR251" s="257"/>
      <c r="AS251" s="257"/>
    </row>
    <row r="252" spans="1:45" ht="12.75">
      <c r="A252" s="253"/>
      <c r="D252" s="253"/>
      <c r="E252" s="253"/>
      <c r="AO252" s="257"/>
      <c r="AP252" s="257"/>
      <c r="AQ252" s="257"/>
      <c r="AR252" s="257"/>
      <c r="AS252" s="257"/>
    </row>
    <row r="253" spans="1:45" ht="12.75">
      <c r="A253" s="253"/>
      <c r="D253" s="253"/>
      <c r="E253" s="253"/>
      <c r="AO253" s="257"/>
      <c r="AP253" s="257"/>
      <c r="AQ253" s="257"/>
      <c r="AR253" s="257"/>
      <c r="AS253" s="257"/>
    </row>
    <row r="254" spans="1:45" ht="12.75">
      <c r="A254" s="253"/>
      <c r="D254" s="253"/>
      <c r="E254" s="253"/>
      <c r="AO254" s="257"/>
      <c r="AP254" s="257"/>
      <c r="AQ254" s="257"/>
      <c r="AR254" s="257"/>
      <c r="AS254" s="257"/>
    </row>
    <row r="255" spans="1:45" ht="12.75">
      <c r="A255" s="253"/>
      <c r="D255" s="253"/>
      <c r="E255" s="253"/>
      <c r="AO255" s="257"/>
      <c r="AP255" s="257"/>
      <c r="AQ255" s="257"/>
      <c r="AR255" s="257"/>
      <c r="AS255" s="257"/>
    </row>
    <row r="256" spans="1:45" ht="12.75">
      <c r="A256" s="253"/>
      <c r="D256" s="253"/>
      <c r="E256" s="253"/>
      <c r="AO256" s="257"/>
      <c r="AP256" s="257"/>
      <c r="AQ256" s="257"/>
      <c r="AR256" s="257"/>
      <c r="AS256" s="257"/>
    </row>
    <row r="257" spans="1:45" ht="12.75">
      <c r="A257" s="253"/>
      <c r="D257" s="253"/>
      <c r="E257" s="253"/>
      <c r="AO257" s="257"/>
      <c r="AP257" s="257"/>
      <c r="AQ257" s="257"/>
      <c r="AR257" s="257"/>
      <c r="AS257" s="257"/>
    </row>
    <row r="258" spans="1:45" ht="12.75">
      <c r="A258" s="253"/>
      <c r="D258" s="253"/>
      <c r="E258" s="253"/>
      <c r="AO258" s="604"/>
      <c r="AP258" s="604"/>
      <c r="AQ258" s="604"/>
      <c r="AR258" s="604"/>
      <c r="AS258" s="604"/>
    </row>
    <row r="259" spans="1:45" ht="12.75">
      <c r="A259" s="253"/>
      <c r="D259" s="253"/>
      <c r="E259" s="253"/>
      <c r="AO259" s="257"/>
      <c r="AP259" s="257"/>
      <c r="AQ259" s="257"/>
      <c r="AR259" s="257"/>
      <c r="AS259" s="257"/>
    </row>
    <row r="260" spans="1:45" ht="12.75">
      <c r="A260" s="253"/>
      <c r="D260" s="253"/>
      <c r="E260" s="253"/>
      <c r="AO260" s="257"/>
      <c r="AP260" s="257"/>
      <c r="AQ260" s="257"/>
      <c r="AR260" s="257"/>
      <c r="AS260" s="257"/>
    </row>
    <row r="261" spans="1:45" ht="12.75">
      <c r="A261" s="253"/>
      <c r="D261" s="253"/>
      <c r="E261" s="253"/>
      <c r="AO261" s="604"/>
      <c r="AP261" s="604"/>
      <c r="AQ261" s="604"/>
      <c r="AR261" s="604"/>
      <c r="AS261" s="604"/>
    </row>
    <row r="262" spans="1:45" ht="12.75">
      <c r="A262" s="253"/>
      <c r="D262" s="253"/>
      <c r="E262" s="253"/>
      <c r="AO262" s="604"/>
      <c r="AP262" s="604"/>
      <c r="AQ262" s="604"/>
      <c r="AR262" s="604"/>
      <c r="AS262" s="604"/>
    </row>
    <row r="263" spans="1:45" ht="12.75">
      <c r="A263" s="253"/>
      <c r="D263" s="253"/>
      <c r="E263" s="253"/>
      <c r="AO263" s="517"/>
      <c r="AP263" s="517"/>
      <c r="AQ263" s="517"/>
      <c r="AR263" s="517"/>
      <c r="AS263" s="517"/>
    </row>
    <row r="264" spans="1:45" ht="12.75">
      <c r="A264" s="253"/>
      <c r="D264" s="253"/>
      <c r="E264" s="253"/>
      <c r="AO264" s="517"/>
      <c r="AP264" s="517"/>
      <c r="AQ264" s="517"/>
      <c r="AR264" s="517"/>
      <c r="AS264" s="517"/>
    </row>
    <row r="265" spans="1:45" ht="12.75">
      <c r="A265" s="253"/>
      <c r="D265" s="253"/>
      <c r="E265" s="253"/>
      <c r="AO265" s="257"/>
      <c r="AP265" s="257"/>
      <c r="AQ265" s="257"/>
      <c r="AR265" s="257"/>
      <c r="AS265" s="257"/>
    </row>
    <row r="266" spans="1:45" ht="12.75">
      <c r="A266" s="253"/>
      <c r="D266" s="253"/>
      <c r="E266" s="253"/>
      <c r="AO266" s="257"/>
      <c r="AP266" s="257"/>
      <c r="AQ266" s="257"/>
      <c r="AR266" s="257"/>
      <c r="AS266" s="257"/>
    </row>
    <row r="267" spans="1:45" ht="12.75">
      <c r="A267" s="253"/>
      <c r="D267" s="253"/>
      <c r="E267" s="253"/>
      <c r="AO267" s="604"/>
      <c r="AP267" s="604"/>
      <c r="AQ267" s="604"/>
      <c r="AR267" s="604"/>
      <c r="AS267" s="604"/>
    </row>
    <row r="268" spans="1:45" ht="12.75">
      <c r="A268" s="253"/>
      <c r="D268" s="253"/>
      <c r="E268" s="253"/>
      <c r="AO268" s="257"/>
      <c r="AP268" s="257"/>
      <c r="AQ268" s="257"/>
      <c r="AR268" s="257"/>
      <c r="AS268" s="257"/>
    </row>
    <row r="269" spans="1:45" ht="12.75">
      <c r="A269" s="253"/>
      <c r="D269" s="253"/>
      <c r="E269" s="253"/>
      <c r="AO269" s="517"/>
      <c r="AP269" s="517"/>
      <c r="AQ269" s="517"/>
      <c r="AR269" s="517"/>
      <c r="AS269" s="517"/>
    </row>
    <row r="270" spans="1:45" ht="12.75">
      <c r="A270" s="253"/>
      <c r="D270" s="253"/>
      <c r="E270" s="253"/>
      <c r="AO270" s="257"/>
      <c r="AP270" s="257"/>
      <c r="AQ270" s="257"/>
      <c r="AR270" s="257"/>
      <c r="AS270" s="257"/>
    </row>
    <row r="271" spans="1:45" ht="12.75">
      <c r="A271" s="253"/>
      <c r="D271" s="253"/>
      <c r="E271" s="253"/>
      <c r="AO271" s="517"/>
      <c r="AP271" s="517"/>
      <c r="AQ271" s="517"/>
      <c r="AR271" s="517"/>
      <c r="AS271" s="517"/>
    </row>
    <row r="272" spans="1:45" ht="12.75">
      <c r="A272" s="253"/>
      <c r="D272" s="253"/>
      <c r="E272" s="253"/>
      <c r="AO272" s="257"/>
      <c r="AP272" s="257"/>
      <c r="AQ272" s="257"/>
      <c r="AR272" s="257"/>
      <c r="AS272" s="257"/>
    </row>
    <row r="273" spans="1:45" ht="12.75">
      <c r="A273" s="253"/>
      <c r="D273" s="253"/>
      <c r="E273" s="253"/>
      <c r="AO273" s="257"/>
      <c r="AP273" s="257"/>
      <c r="AQ273" s="257"/>
      <c r="AR273" s="257"/>
      <c r="AS273" s="257"/>
    </row>
    <row r="274" spans="1:45" ht="12.75">
      <c r="A274" s="253"/>
      <c r="D274" s="253"/>
      <c r="E274" s="253"/>
      <c r="AO274" s="257"/>
      <c r="AP274" s="257"/>
      <c r="AQ274" s="257"/>
      <c r="AR274" s="257"/>
      <c r="AS274" s="257"/>
    </row>
    <row r="275" spans="1:45" ht="12.75">
      <c r="A275" s="253"/>
      <c r="D275" s="253"/>
      <c r="E275" s="253"/>
      <c r="AO275" s="257"/>
      <c r="AP275" s="257"/>
      <c r="AQ275" s="257"/>
      <c r="AR275" s="257"/>
      <c r="AS275" s="257"/>
    </row>
    <row r="276" spans="1:45" ht="12.75">
      <c r="A276" s="253"/>
      <c r="D276" s="253"/>
      <c r="E276" s="253"/>
      <c r="AO276" s="257"/>
      <c r="AP276" s="257"/>
      <c r="AQ276" s="257"/>
      <c r="AR276" s="257"/>
      <c r="AS276" s="257"/>
    </row>
    <row r="277" spans="1:45" ht="12.75">
      <c r="A277" s="253"/>
      <c r="D277" s="253"/>
      <c r="E277" s="253"/>
      <c r="AO277" s="257"/>
      <c r="AP277" s="257"/>
      <c r="AQ277" s="257"/>
      <c r="AR277" s="257"/>
      <c r="AS277" s="257"/>
    </row>
    <row r="278" spans="1:45" ht="12.75">
      <c r="A278" s="253"/>
      <c r="D278" s="253"/>
      <c r="E278" s="253"/>
      <c r="AO278" s="257"/>
      <c r="AP278" s="257"/>
      <c r="AQ278" s="257"/>
      <c r="AR278" s="257"/>
      <c r="AS278" s="257"/>
    </row>
    <row r="279" spans="1:45" ht="12.75">
      <c r="A279" s="253"/>
      <c r="D279" s="253"/>
      <c r="E279" s="253"/>
      <c r="AO279" s="517"/>
      <c r="AP279" s="517"/>
      <c r="AQ279" s="517"/>
      <c r="AR279" s="517"/>
      <c r="AS279" s="517"/>
    </row>
    <row r="280" spans="1:45" ht="12.75">
      <c r="A280" s="253"/>
      <c r="D280" s="253"/>
      <c r="E280" s="253"/>
      <c r="AO280" s="257"/>
      <c r="AP280" s="257"/>
      <c r="AQ280" s="257"/>
      <c r="AR280" s="257"/>
      <c r="AS280" s="257"/>
    </row>
    <row r="281" spans="1:45" ht="12.75">
      <c r="A281" s="253"/>
      <c r="D281" s="253"/>
      <c r="E281" s="253"/>
      <c r="AO281" s="257"/>
      <c r="AP281" s="257"/>
      <c r="AQ281" s="257"/>
      <c r="AR281" s="257"/>
      <c r="AS281" s="257"/>
    </row>
    <row r="282" spans="1:45" ht="12.75">
      <c r="A282" s="253"/>
      <c r="D282" s="253"/>
      <c r="E282" s="253"/>
      <c r="AO282" s="517"/>
      <c r="AP282" s="517"/>
      <c r="AQ282" s="517"/>
      <c r="AR282" s="517"/>
      <c r="AS282" s="517"/>
    </row>
    <row r="283" spans="1:45" ht="12.75">
      <c r="A283" s="253"/>
      <c r="D283" s="253"/>
      <c r="E283" s="253"/>
      <c r="AO283" s="604"/>
      <c r="AP283" s="604"/>
      <c r="AQ283" s="604"/>
      <c r="AR283" s="604"/>
      <c r="AS283" s="604"/>
    </row>
    <row r="284" spans="1:45" ht="12.75">
      <c r="A284" s="253"/>
      <c r="D284" s="253"/>
      <c r="E284" s="253"/>
      <c r="AO284" s="257"/>
      <c r="AP284" s="257"/>
      <c r="AQ284" s="257"/>
      <c r="AR284" s="257"/>
      <c r="AS284" s="257"/>
    </row>
    <row r="285" spans="1:45" ht="12.75">
      <c r="A285" s="253"/>
      <c r="D285" s="253"/>
      <c r="E285" s="253"/>
      <c r="AO285" s="257"/>
      <c r="AP285" s="257"/>
      <c r="AQ285" s="257"/>
      <c r="AR285" s="257"/>
      <c r="AS285" s="257"/>
    </row>
    <row r="286" spans="1:45" ht="12.75">
      <c r="A286" s="253"/>
      <c r="D286" s="253"/>
      <c r="E286" s="253"/>
      <c r="AO286" s="257"/>
      <c r="AP286" s="257"/>
      <c r="AQ286" s="257"/>
      <c r="AR286" s="257"/>
      <c r="AS286" s="257"/>
    </row>
    <row r="287" spans="1:45" ht="12.75">
      <c r="A287" s="253"/>
      <c r="D287" s="253"/>
      <c r="E287" s="253"/>
      <c r="AO287" s="257"/>
      <c r="AP287" s="257"/>
      <c r="AQ287" s="257"/>
      <c r="AR287" s="257"/>
      <c r="AS287" s="257"/>
    </row>
    <row r="288" spans="1:45" ht="12.75">
      <c r="A288" s="253"/>
      <c r="D288" s="253"/>
      <c r="E288" s="253"/>
      <c r="AO288" s="604"/>
      <c r="AP288" s="604"/>
      <c r="AQ288" s="604"/>
      <c r="AR288" s="604"/>
      <c r="AS288" s="604"/>
    </row>
    <row r="289" spans="41:45" ht="12.75">
      <c r="AO289" s="257"/>
      <c r="AP289" s="257"/>
      <c r="AQ289" s="257"/>
      <c r="AR289" s="257"/>
      <c r="AS289" s="257"/>
    </row>
    <row r="290" spans="41:45" ht="12.75">
      <c r="AO290" s="257"/>
      <c r="AP290" s="257"/>
      <c r="AQ290" s="257"/>
      <c r="AR290" s="257"/>
      <c r="AS290" s="257"/>
    </row>
    <row r="291" spans="41:45" ht="12.75">
      <c r="AO291" s="257"/>
      <c r="AP291" s="257"/>
      <c r="AQ291" s="257"/>
      <c r="AR291" s="257"/>
      <c r="AS291" s="257"/>
    </row>
    <row r="292" spans="41:45" ht="12.75">
      <c r="AO292" s="517"/>
      <c r="AP292" s="517"/>
      <c r="AQ292" s="517"/>
      <c r="AR292" s="517"/>
      <c r="AS292" s="517"/>
    </row>
    <row r="293" spans="41:45" ht="12.75">
      <c r="AO293" s="257"/>
      <c r="AP293" s="257"/>
      <c r="AQ293" s="257"/>
      <c r="AR293" s="257"/>
      <c r="AS293" s="257"/>
    </row>
    <row r="294" spans="41:45" ht="12.75">
      <c r="AO294" s="257"/>
      <c r="AP294" s="257"/>
      <c r="AQ294" s="257"/>
      <c r="AR294" s="257"/>
      <c r="AS294" s="257"/>
    </row>
    <row r="295" spans="41:45" ht="12.75">
      <c r="AO295" s="257"/>
      <c r="AP295" s="257"/>
      <c r="AQ295" s="257"/>
      <c r="AR295" s="257"/>
      <c r="AS295" s="257"/>
    </row>
    <row r="296" spans="41:45" ht="12.75">
      <c r="AO296" s="257"/>
      <c r="AP296" s="257"/>
      <c r="AQ296" s="257"/>
      <c r="AR296" s="257"/>
      <c r="AS296" s="257"/>
    </row>
    <row r="297" spans="41:45" ht="12.75">
      <c r="AO297" s="257"/>
      <c r="AP297" s="257"/>
      <c r="AQ297" s="257"/>
      <c r="AR297" s="257"/>
      <c r="AS297" s="257"/>
    </row>
    <row r="298" spans="41:45" ht="12.75">
      <c r="AO298" s="257"/>
      <c r="AP298" s="257"/>
      <c r="AQ298" s="257"/>
      <c r="AR298" s="257"/>
      <c r="AS298" s="257"/>
    </row>
    <row r="299" spans="41:45" ht="12.75">
      <c r="AO299" s="257"/>
      <c r="AP299" s="257"/>
      <c r="AQ299" s="257"/>
      <c r="AR299" s="257"/>
      <c r="AS299" s="257"/>
    </row>
    <row r="300" spans="41:45" ht="12.75">
      <c r="AO300" s="517"/>
      <c r="AP300" s="517"/>
      <c r="AQ300" s="517"/>
      <c r="AR300" s="517"/>
      <c r="AS300" s="517"/>
    </row>
    <row r="301" spans="41:45" ht="12.75">
      <c r="AO301" s="604"/>
      <c r="AP301" s="604"/>
      <c r="AQ301" s="604"/>
      <c r="AR301" s="604"/>
      <c r="AS301" s="604"/>
    </row>
    <row r="302" spans="41:45" ht="12.75">
      <c r="AO302" s="604"/>
      <c r="AP302" s="604"/>
      <c r="AQ302" s="604"/>
      <c r="AR302" s="604"/>
      <c r="AS302" s="604"/>
    </row>
    <row r="303" spans="41:45" ht="12.75">
      <c r="AO303" s="517"/>
      <c r="AP303" s="517"/>
      <c r="AQ303" s="517"/>
      <c r="AR303" s="517"/>
      <c r="AS303" s="517"/>
    </row>
    <row r="304" spans="41:45" ht="12.75">
      <c r="AO304" s="257"/>
      <c r="AP304" s="257"/>
      <c r="AQ304" s="257"/>
      <c r="AR304" s="257"/>
      <c r="AS304" s="257"/>
    </row>
    <row r="305" spans="41:45" ht="12.75">
      <c r="AO305" s="257"/>
      <c r="AP305" s="257"/>
      <c r="AQ305" s="257"/>
      <c r="AR305" s="257"/>
      <c r="AS305" s="257"/>
    </row>
    <row r="306" spans="41:45" ht="12.75">
      <c r="AO306" s="257"/>
      <c r="AP306" s="257"/>
      <c r="AQ306" s="257"/>
      <c r="AR306" s="257"/>
      <c r="AS306" s="257"/>
    </row>
    <row r="307" spans="41:45" ht="12.75">
      <c r="AO307" s="257"/>
      <c r="AP307" s="257"/>
      <c r="AQ307" s="257"/>
      <c r="AR307" s="257"/>
      <c r="AS307" s="257"/>
    </row>
    <row r="308" spans="41:45" ht="12.75">
      <c r="AO308" s="257"/>
      <c r="AP308" s="257"/>
      <c r="AQ308" s="257"/>
      <c r="AR308" s="257"/>
      <c r="AS308" s="257"/>
    </row>
    <row r="309" spans="41:45" ht="30.75" customHeight="1">
      <c r="AO309" s="613">
        <f>300-COUNTIF(AO9:AO308,"")</f>
        <v>27</v>
      </c>
      <c r="AP309" s="612"/>
      <c r="AQ309" s="612"/>
      <c r="AR309" s="612"/>
      <c r="AS309" s="612"/>
    </row>
  </sheetData>
  <sheetProtection sheet="1" objects="1" scenarios="1" selectLockedCells="1"/>
  <mergeCells count="13">
    <mergeCell ref="A89:B89"/>
    <mergeCell ref="D4:F4"/>
    <mergeCell ref="A7:A8"/>
    <mergeCell ref="B7:G7"/>
    <mergeCell ref="C1:L1"/>
    <mergeCell ref="O7:O8"/>
    <mergeCell ref="H7:M7"/>
    <mergeCell ref="N1:P1"/>
    <mergeCell ref="N2:P2"/>
    <mergeCell ref="P7:P8"/>
    <mergeCell ref="N7:N8"/>
    <mergeCell ref="C3:L3"/>
    <mergeCell ref="C2:L2"/>
  </mergeCells>
  <conditionalFormatting sqref="N9:N58">
    <cfRule type="expression" priority="1" dxfId="201" stopIfTrue="1">
      <formula>AND($Q9&lt;&gt;0,$Q9&lt;&gt;2)</formula>
    </cfRule>
  </conditionalFormatting>
  <conditionalFormatting sqref="O9:O58">
    <cfRule type="cellIs" priority="2" dxfId="202" operator="equal" stopIfTrue="1">
      <formula>"ск"</formula>
    </cfRule>
  </conditionalFormatting>
  <conditionalFormatting sqref="C9:C58 I9:I58">
    <cfRule type="expression" priority="3" dxfId="203" stopIfTrue="1">
      <formula>COUNTIF($C$9:$C$58,C9)+COUNTIF($I$9:$I$58,C9)&gt;1</formula>
    </cfRule>
  </conditionalFormatting>
  <conditionalFormatting sqref="N1:P2">
    <cfRule type="expression" priority="4" dxfId="204" stopIfTrue="1">
      <formula>$AO$309&lt;&gt;0</formula>
    </cfRule>
  </conditionalFormatting>
  <printOptions horizontalCentered="1"/>
  <pageMargins left="0.15" right="0.25" top="0.25" bottom="0.32" header="0.25" footer="0.26"/>
  <pageSetup fitToHeight="6" fitToWidth="1" horizontalDpi="600" verticalDpi="600" orientation="landscape" paperSize="9" scale="71" r:id="rId3"/>
  <drawing r:id="rId2"/>
  <legacyDrawing r:id="rId1"/>
</worksheet>
</file>

<file path=xl/worksheets/sheet3.xml><?xml version="1.0" encoding="utf-8"?>
<worksheet xmlns="http://schemas.openxmlformats.org/spreadsheetml/2006/main" xmlns:r="http://schemas.openxmlformats.org/officeDocument/2006/relationships">
  <sheetPr codeName="Лист13">
    <outlinePr summaryBelow="0" summaryRight="0"/>
    <pageSetUpPr fitToPage="1"/>
  </sheetPr>
  <dimension ref="A1:IV118"/>
  <sheetViews>
    <sheetView showGridLines="0" showRowColHeaders="0" showZeros="0" showOutlineSymbols="0" zoomScale="75" zoomScaleNormal="75" zoomScaleSheetLayoutView="100" zoomScalePageLayoutView="0" workbookViewId="0" topLeftCell="C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7539062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5" t="s">
        <v>129</v>
      </c>
      <c r="B1" s="675"/>
      <c r="C1" s="675"/>
      <c r="D1" s="675"/>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5" t="s">
        <v>3</v>
      </c>
      <c r="B2" s="675"/>
      <c r="C2" s="675"/>
      <c r="D2" s="675"/>
      <c r="E2" s="423" t="str">
        <f>IF(Установка!C7="","",UPPER(Установка!C7))</f>
        <v>07-13.09.2015</v>
      </c>
      <c r="F2" s="430"/>
      <c r="G2" s="431"/>
      <c r="H2" s="432"/>
      <c r="I2" s="427"/>
      <c r="J2" s="427"/>
      <c r="K2" s="427"/>
      <c r="L2" s="427"/>
      <c r="M2" s="427"/>
      <c r="N2" s="427"/>
      <c r="O2" s="427"/>
      <c r="P2" s="427"/>
      <c r="Q2" s="427"/>
      <c r="R2" s="427"/>
      <c r="S2" s="427"/>
      <c r="T2" s="428"/>
      <c r="U2" s="429"/>
      <c r="V2" s="452"/>
      <c r="W2" s="450"/>
    </row>
    <row r="3" spans="1:23" s="453" customFormat="1" ht="10.5" customHeight="1">
      <c r="A3" s="675" t="s">
        <v>2</v>
      </c>
      <c r="B3" s="675"/>
      <c r="C3" s="675"/>
      <c r="D3" s="675"/>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5" t="s">
        <v>83</v>
      </c>
      <c r="B4" s="675"/>
      <c r="C4" s="675"/>
      <c r="D4" s="675"/>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5" t="s">
        <v>44</v>
      </c>
      <c r="B5" s="675"/>
      <c r="C5" s="675"/>
      <c r="D5" s="675"/>
      <c r="E5" s="433" t="str">
        <f>IF(Установка!$C$4="","",UPPER(Установка!$C$4))</f>
        <v>ДО 13 ЛЕТ</v>
      </c>
      <c r="F5" s="427"/>
      <c r="G5" s="429"/>
      <c r="H5" s="428"/>
      <c r="I5" s="427"/>
      <c r="J5" s="427"/>
      <c r="K5" s="427"/>
      <c r="L5" s="427"/>
      <c r="M5" s="427"/>
      <c r="N5" s="427"/>
      <c r="O5" s="427"/>
      <c r="P5" s="427"/>
      <c r="Q5" s="427"/>
      <c r="R5" s="427"/>
      <c r="S5" s="427"/>
      <c r="T5" s="428"/>
      <c r="U5" s="429"/>
      <c r="V5" s="452"/>
      <c r="W5" s="450"/>
    </row>
    <row r="6" spans="1:23" s="453" customFormat="1" ht="10.5" customHeight="1">
      <c r="A6" s="675" t="s">
        <v>130</v>
      </c>
      <c r="B6" s="675"/>
      <c r="C6" s="675"/>
      <c r="D6" s="675"/>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5" t="s">
        <v>131</v>
      </c>
      <c r="B7" s="675"/>
      <c r="C7" s="675"/>
      <c r="D7" s="675"/>
      <c r="E7" s="437">
        <f>IF(Установка!$C$9="","",Установка!$C$9)</f>
        <v>42240</v>
      </c>
      <c r="F7" s="427"/>
      <c r="G7" s="429"/>
      <c r="H7" s="428"/>
      <c r="I7" s="427"/>
      <c r="J7" s="427"/>
      <c r="K7" s="427"/>
      <c r="L7" s="427"/>
      <c r="M7" s="427"/>
      <c r="N7" s="427"/>
      <c r="O7" s="427"/>
      <c r="P7" s="427"/>
      <c r="Q7" s="427"/>
      <c r="R7" s="427"/>
      <c r="S7" s="427"/>
      <c r="T7" s="428"/>
      <c r="U7" s="429"/>
      <c r="V7" s="452"/>
      <c r="W7" s="450"/>
    </row>
    <row r="8" spans="1:23" s="453" customFormat="1" ht="10.5" customHeight="1">
      <c r="A8" s="675" t="s">
        <v>132</v>
      </c>
      <c r="B8" s="675"/>
      <c r="C8" s="675"/>
      <c r="D8" s="675"/>
      <c r="E8" s="437">
        <f>IF(Установка!$C$10="","",Установка!$C$10)</f>
        <v>42248</v>
      </c>
      <c r="F8" s="438"/>
      <c r="G8" s="439"/>
      <c r="H8" s="440"/>
      <c r="I8" s="438"/>
      <c r="J8" s="438"/>
      <c r="K8" s="438"/>
      <c r="L8" s="438"/>
      <c r="M8" s="438"/>
      <c r="N8" s="438"/>
      <c r="O8" s="438"/>
      <c r="P8" s="438"/>
      <c r="Q8" s="438"/>
      <c r="R8" s="438"/>
      <c r="S8" s="438"/>
      <c r="T8" s="440"/>
      <c r="U8" s="439"/>
      <c r="V8" s="452"/>
      <c r="W8" s="450"/>
    </row>
    <row r="9" spans="1:23" s="453" customFormat="1" ht="15">
      <c r="A9" s="676" t="s">
        <v>149</v>
      </c>
      <c r="B9" s="676"/>
      <c r="C9" s="676"/>
      <c r="D9" s="676"/>
      <c r="E9" s="676"/>
      <c r="F9" s="676"/>
      <c r="G9" s="676"/>
      <c r="H9" s="676"/>
      <c r="I9" s="676"/>
      <c r="J9" s="676"/>
      <c r="K9" s="676"/>
      <c r="L9" s="676"/>
      <c r="M9" s="676"/>
      <c r="N9" s="676"/>
      <c r="O9" s="676"/>
      <c r="P9" s="676"/>
      <c r="Q9" s="521"/>
      <c r="R9" s="521"/>
      <c r="S9" s="521"/>
      <c r="T9" s="521"/>
      <c r="U9" s="521"/>
      <c r="V9" s="452"/>
      <c r="W9" s="450"/>
    </row>
    <row r="10" spans="1:53" s="453" customFormat="1" ht="42" customHeight="1" thickBot="1">
      <c r="A10" s="676"/>
      <c r="B10" s="676"/>
      <c r="C10" s="676"/>
      <c r="D10" s="676"/>
      <c r="E10" s="676"/>
      <c r="F10" s="676"/>
      <c r="G10" s="676"/>
      <c r="H10" s="676"/>
      <c r="I10" s="676"/>
      <c r="J10" s="676"/>
      <c r="K10" s="676"/>
      <c r="L10" s="676"/>
      <c r="M10" s="676"/>
      <c r="N10" s="676"/>
      <c r="O10" s="676"/>
      <c r="P10" s="676"/>
      <c r="Q10" s="521"/>
      <c r="R10" s="521"/>
      <c r="S10" s="523"/>
      <c r="T10" s="521"/>
      <c r="U10" s="521"/>
      <c r="V10" s="533"/>
      <c r="W10" s="677" t="s">
        <v>37</v>
      </c>
      <c r="X10" s="677"/>
      <c r="Y10" s="677"/>
      <c r="Z10" s="677"/>
      <c r="AA10" s="677"/>
      <c r="AB10" s="677"/>
      <c r="AC10" s="677"/>
      <c r="AD10" s="677"/>
      <c r="AE10" s="677"/>
      <c r="AF10" s="677"/>
      <c r="AG10" s="677"/>
      <c r="AH10" s="677"/>
      <c r="AI10" s="534"/>
      <c r="AJ10" s="677" t="s">
        <v>38</v>
      </c>
      <c r="AK10" s="677"/>
      <c r="AL10" s="677"/>
      <c r="AM10" s="677"/>
      <c r="AN10" s="677"/>
      <c r="AO10" s="677"/>
      <c r="AP10" s="677"/>
      <c r="AQ10" s="677"/>
      <c r="AR10" s="677"/>
      <c r="AS10" s="677"/>
      <c r="AT10" s="677"/>
      <c r="AU10" s="677"/>
      <c r="AV10" s="535"/>
      <c r="AW10" s="535"/>
      <c r="AX10" s="678" t="s">
        <v>98</v>
      </c>
      <c r="AY10" s="678"/>
      <c r="AZ10" s="678"/>
      <c r="BA10" s="678"/>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v>0</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c r="BA11" s="499"/>
    </row>
    <row r="12" spans="1:53" s="446" customFormat="1" ht="25.5" customHeight="1">
      <c r="A12" s="553"/>
      <c r="B12" s="555">
        <v>1</v>
      </c>
      <c r="C12" s="575">
        <v>0</v>
      </c>
      <c r="D12" s="576">
        <v>0</v>
      </c>
      <c r="E12" s="442" t="s">
        <v>193</v>
      </c>
      <c r="F12" s="443">
        <v>30693</v>
      </c>
      <c r="G12" s="444">
        <v>38140</v>
      </c>
      <c r="H12" s="442" t="s">
        <v>209</v>
      </c>
      <c r="I12" s="443"/>
      <c r="J12" s="575">
        <v>112</v>
      </c>
      <c r="K12" s="576">
        <v>112</v>
      </c>
      <c r="L12" s="442" t="s">
        <v>205</v>
      </c>
      <c r="M12" s="443">
        <v>29110</v>
      </c>
      <c r="N12" s="444">
        <v>38025</v>
      </c>
      <c r="O12" s="442" t="s">
        <v>209</v>
      </c>
      <c r="P12" s="561"/>
      <c r="Q12" s="571">
        <f aca="true" t="shared" si="0" ref="Q12:R18">C12+J12</f>
        <v>112</v>
      </c>
      <c r="R12" s="572">
        <f t="shared" si="0"/>
        <v>112</v>
      </c>
      <c r="S12" s="527"/>
      <c r="T12" s="528"/>
      <c r="U12" s="529" t="s">
        <v>210</v>
      </c>
      <c r="V12" s="445">
        <f aca="true" t="shared" si="1" ref="V12:V18">IF(ISBLANK(E12),2,IF(ISBLANK(S12),0,1))</f>
        <v>0</v>
      </c>
      <c r="W12" s="504">
        <f aca="true" t="shared" si="2" ref="W12:W20">LEN(E12)</f>
        <v>27</v>
      </c>
      <c r="X12" s="504">
        <f aca="true" t="shared" si="3" ref="X12:X20">IF((W12)=0,0,FIND(" ",E12))</f>
        <v>9</v>
      </c>
      <c r="Y12" s="504" t="str">
        <f aca="true" t="shared" si="4" ref="Y12:Y20">IF(OR(ISERR(X12),W12=0),"",CONCATENATE(MID(E12,X12+1,1),"."))</f>
        <v>Е.</v>
      </c>
      <c r="Z12" s="504">
        <f aca="true" t="shared" si="5" ref="Z12:Z20">IF(LEN(E12)=0,0,FIND(" ",E12,X12+1))</f>
        <v>19</v>
      </c>
      <c r="AA12" s="504" t="str">
        <f aca="true" t="shared" si="6" ref="AA12:AA20">IF(OR(W12=0,ISERR(Z12)),"",CONCATENATE(MID(E12,Z12+1,1),"."))</f>
        <v>О.</v>
      </c>
      <c r="AB12" s="505" t="str">
        <f aca="true" t="shared" si="7" ref="AB12:AB20">IF(E12="","",IF(ISERR(X12),UPPER(E12),UPPER(MID(E12,1,X12-1))))</f>
        <v>МАТВЕЕВА</v>
      </c>
      <c r="AC12" s="504" t="str">
        <f aca="true" t="shared" si="8" ref="AC12:AC20">CONCATENATE(Y12,AA12)</f>
        <v>Е.О.</v>
      </c>
      <c r="AD12" s="505" t="str">
        <f aca="true" t="shared" si="9" ref="AD12:AD20">IF(E12="","",IF(ISERR(X12),"",UPPER(MID(E12,X12+1,Z12-X12-1))))</f>
        <v>ЕЛИЗАВЕТА</v>
      </c>
      <c r="AE12" s="504">
        <f aca="true" t="shared" si="10" ref="AE12:AE20">IF(E12="",0,COUNTIF($AB$12:$AB$43,AB12))</f>
        <v>1</v>
      </c>
      <c r="AF12" s="504">
        <f aca="true" t="shared" si="11" ref="AF12:AF20">IF(E12="",0,COUNTIF($AO$12:$AO$43,AB12))</f>
        <v>0</v>
      </c>
      <c r="AG12" s="504">
        <f aca="true" t="shared" si="12" ref="AG12:AG20">AE12+AF12</f>
        <v>1</v>
      </c>
      <c r="AH12" s="506" t="str">
        <f aca="true" t="shared" si="13" ref="AH12:AH20">IF(E12="","",IF(AG12&gt;1,CONCATENATE(AB12," ",AD12),AB12))</f>
        <v>МАТВЕЕВА</v>
      </c>
      <c r="AI12" s="120"/>
      <c r="AJ12" s="504">
        <f aca="true" t="shared" si="14" ref="AJ12:AJ20">LEN(L12)</f>
        <v>27</v>
      </c>
      <c r="AK12" s="504">
        <f aca="true" t="shared" si="15" ref="AK12:AK20">IF((AJ12)=0,0,FIND(" ",L12))</f>
        <v>9</v>
      </c>
      <c r="AL12" s="504" t="str">
        <f aca="true" t="shared" si="16" ref="AL12:AL20">IF(OR(ISERR(AK12),AJ12=0),"",CONCATENATE(MID(L12,AK12+1,1),"."))</f>
        <v>А.</v>
      </c>
      <c r="AM12" s="504">
        <f aca="true" t="shared" si="17" ref="AM12:AM20">IF(LEN(L12)=0,0,FIND(" ",L12,AK12+1))</f>
        <v>19</v>
      </c>
      <c r="AN12" s="504" t="str">
        <f aca="true" t="shared" si="18" ref="AN12:AN20">IF(OR(AJ12=0,ISERR(AM12)),"",CONCATENATE(MID(L12,AM12+1,1),"."))</f>
        <v>О.</v>
      </c>
      <c r="AO12" s="505" t="str">
        <f aca="true" t="shared" si="19" ref="AO12:AO20">IF(L12="","",IF(ISERR(AK12),UPPER(L12),UPPER(MID(L12,1,AK12-1))))</f>
        <v>ХАБАРОВА</v>
      </c>
      <c r="AP12" s="504" t="str">
        <f aca="true" t="shared" si="20" ref="AP12:AP20">CONCATENATE(AL12,AN12)</f>
        <v>А.О.</v>
      </c>
      <c r="AQ12" s="505" t="str">
        <f aca="true" t="shared" si="21" ref="AQ12:AQ20">IF(L12="","",IF(ISERR(AK12),"",UPPER(MID(L12,AK12+1,AM12-AK12-1))))</f>
        <v>АНАСТАСИЯ</v>
      </c>
      <c r="AR12" s="504">
        <f aca="true" t="shared" si="22" ref="AR12:AR20">IF(L12="",0,COUNTIF($AB$12:$AB$43,AO12))</f>
        <v>0</v>
      </c>
      <c r="AS12" s="504">
        <f aca="true" t="shared" si="23" ref="AS12:AS20">IF(L12="",0,COUNTIF($AO$12:$AO$43,AO12))</f>
        <v>1</v>
      </c>
      <c r="AT12" s="504">
        <f aca="true" t="shared" si="24" ref="AT12:AT20">AR12+AS12</f>
        <v>1</v>
      </c>
      <c r="AU12" s="506" t="str">
        <f aca="true" t="shared" si="25" ref="AU12:AU20">IF(L12="","",IF(AT12&gt;1,CONCATENATE(AO12," ",AQ12),AO12))</f>
        <v>ХАБАРОВА</v>
      </c>
      <c r="AV12" s="120"/>
      <c r="AW12" s="500" t="str">
        <f aca="true" t="shared" si="26" ref="AW12:AW20">CONCATENATE(AH12," / ",AU12)</f>
        <v>МАТВЕЕВА / ХАБАРОВА</v>
      </c>
      <c r="AX12" s="343" t="s">
        <v>99</v>
      </c>
      <c r="AY12" s="343" t="s">
        <v>100</v>
      </c>
      <c r="AZ12" s="343" t="s">
        <v>102</v>
      </c>
      <c r="BA12" s="343" t="s">
        <v>101</v>
      </c>
    </row>
    <row r="13" spans="1:53" s="446" customFormat="1" ht="25.5" customHeight="1">
      <c r="A13" s="553"/>
      <c r="B13" s="555">
        <v>2</v>
      </c>
      <c r="C13" s="575">
        <v>13</v>
      </c>
      <c r="D13" s="576">
        <v>13</v>
      </c>
      <c r="E13" s="442" t="s">
        <v>196</v>
      </c>
      <c r="F13" s="443">
        <v>27705</v>
      </c>
      <c r="G13" s="444">
        <v>37737</v>
      </c>
      <c r="H13" s="442" t="s">
        <v>207</v>
      </c>
      <c r="I13" s="443"/>
      <c r="J13" s="575">
        <v>46</v>
      </c>
      <c r="K13" s="576">
        <v>46</v>
      </c>
      <c r="L13" s="442" t="s">
        <v>202</v>
      </c>
      <c r="M13" s="443">
        <v>28146</v>
      </c>
      <c r="N13" s="444">
        <v>37952</v>
      </c>
      <c r="O13" s="442" t="s">
        <v>207</v>
      </c>
      <c r="P13" s="561"/>
      <c r="Q13" s="571">
        <f t="shared" si="0"/>
        <v>59</v>
      </c>
      <c r="R13" s="572">
        <f t="shared" si="0"/>
        <v>59</v>
      </c>
      <c r="S13" s="527"/>
      <c r="T13" s="528"/>
      <c r="U13" s="529" t="s">
        <v>210</v>
      </c>
      <c r="V13" s="445">
        <f t="shared" si="1"/>
        <v>0</v>
      </c>
      <c r="W13" s="504">
        <f t="shared" si="2"/>
        <v>21</v>
      </c>
      <c r="X13" s="504">
        <f t="shared" si="3"/>
        <v>9</v>
      </c>
      <c r="Y13" s="504" t="str">
        <f t="shared" si="4"/>
        <v>Я.</v>
      </c>
      <c r="Z13" s="504">
        <f t="shared" si="5"/>
        <v>13</v>
      </c>
      <c r="AA13" s="504" t="str">
        <f t="shared" si="6"/>
        <v>О.</v>
      </c>
      <c r="AB13" s="505" t="str">
        <f t="shared" si="7"/>
        <v>ПАНЬКОВА</v>
      </c>
      <c r="AC13" s="504" t="str">
        <f t="shared" si="8"/>
        <v>Я.О.</v>
      </c>
      <c r="AD13" s="505" t="str">
        <f t="shared" si="9"/>
        <v>ЯНА</v>
      </c>
      <c r="AE13" s="504">
        <f t="shared" si="10"/>
        <v>1</v>
      </c>
      <c r="AF13" s="504">
        <f t="shared" si="11"/>
        <v>0</v>
      </c>
      <c r="AG13" s="504">
        <f t="shared" si="12"/>
        <v>1</v>
      </c>
      <c r="AH13" s="506" t="str">
        <f t="shared" si="13"/>
        <v>ПАНЬКОВА</v>
      </c>
      <c r="AI13" s="120"/>
      <c r="AJ13" s="504">
        <f t="shared" si="14"/>
        <v>27</v>
      </c>
      <c r="AK13" s="504">
        <f t="shared" si="15"/>
        <v>9</v>
      </c>
      <c r="AL13" s="504" t="str">
        <f t="shared" si="16"/>
        <v>В.</v>
      </c>
      <c r="AM13" s="504">
        <f t="shared" si="17"/>
        <v>17</v>
      </c>
      <c r="AN13" s="504" t="str">
        <f t="shared" si="18"/>
        <v>А.</v>
      </c>
      <c r="AO13" s="505" t="str">
        <f t="shared" si="19"/>
        <v>ТАРАНОВА</v>
      </c>
      <c r="AP13" s="504" t="str">
        <f t="shared" si="20"/>
        <v>В.А.</v>
      </c>
      <c r="AQ13" s="505" t="str">
        <f t="shared" si="21"/>
        <v>ВАЛЕРИЯ</v>
      </c>
      <c r="AR13" s="504">
        <f t="shared" si="22"/>
        <v>0</v>
      </c>
      <c r="AS13" s="504">
        <f t="shared" si="23"/>
        <v>1</v>
      </c>
      <c r="AT13" s="504">
        <f t="shared" si="24"/>
        <v>1</v>
      </c>
      <c r="AU13" s="506" t="str">
        <f t="shared" si="25"/>
        <v>ТАРАНОВА</v>
      </c>
      <c r="AV13" s="120"/>
      <c r="AW13" s="500" t="str">
        <f t="shared" si="26"/>
        <v>ПАНЬКОВА / ТАРАНОВА</v>
      </c>
      <c r="AX13" s="120"/>
      <c r="AY13" s="120"/>
      <c r="AZ13" s="120"/>
      <c r="BA13" s="120"/>
    </row>
    <row r="14" spans="1:53" s="446" customFormat="1" ht="25.5" customHeight="1">
      <c r="A14" s="553"/>
      <c r="B14" s="555">
        <v>3</v>
      </c>
      <c r="C14" s="575">
        <v>12</v>
      </c>
      <c r="D14" s="576">
        <v>12</v>
      </c>
      <c r="E14" s="442" t="s">
        <v>191</v>
      </c>
      <c r="F14" s="443">
        <v>31323</v>
      </c>
      <c r="G14" s="444">
        <v>38405</v>
      </c>
      <c r="H14" s="442" t="s">
        <v>175</v>
      </c>
      <c r="I14" s="443"/>
      <c r="J14" s="575">
        <v>38</v>
      </c>
      <c r="K14" s="576">
        <v>38</v>
      </c>
      <c r="L14" s="442" t="s">
        <v>199</v>
      </c>
      <c r="M14" s="443">
        <v>30039</v>
      </c>
      <c r="N14" s="444">
        <v>38036</v>
      </c>
      <c r="O14" s="442" t="s">
        <v>175</v>
      </c>
      <c r="P14" s="561"/>
      <c r="Q14" s="571">
        <f t="shared" si="0"/>
        <v>50</v>
      </c>
      <c r="R14" s="572">
        <f t="shared" si="0"/>
        <v>50</v>
      </c>
      <c r="S14" s="527"/>
      <c r="T14" s="528"/>
      <c r="U14" s="529" t="s">
        <v>210</v>
      </c>
      <c r="V14" s="445">
        <f t="shared" si="1"/>
        <v>0</v>
      </c>
      <c r="W14" s="504">
        <f t="shared" si="2"/>
        <v>23</v>
      </c>
      <c r="X14" s="504">
        <f t="shared" si="3"/>
        <v>8</v>
      </c>
      <c r="Y14" s="504" t="str">
        <f t="shared" si="4"/>
        <v>Д.</v>
      </c>
      <c r="Z14" s="504">
        <f t="shared" si="5"/>
        <v>14</v>
      </c>
      <c r="AA14" s="504" t="str">
        <f t="shared" si="6"/>
        <v>А.</v>
      </c>
      <c r="AB14" s="505" t="str">
        <f t="shared" si="7"/>
        <v>КОПТЕВА</v>
      </c>
      <c r="AC14" s="504" t="str">
        <f t="shared" si="8"/>
        <v>Д.А.</v>
      </c>
      <c r="AD14" s="505" t="str">
        <f t="shared" si="9"/>
        <v>ДАРЬЯ</v>
      </c>
      <c r="AE14" s="504">
        <f t="shared" si="10"/>
        <v>1</v>
      </c>
      <c r="AF14" s="504">
        <f t="shared" si="11"/>
        <v>0</v>
      </c>
      <c r="AG14" s="504">
        <f t="shared" si="12"/>
        <v>1</v>
      </c>
      <c r="AH14" s="506" t="str">
        <f t="shared" si="13"/>
        <v>КОПТЕВА</v>
      </c>
      <c r="AI14" s="120"/>
      <c r="AJ14" s="504">
        <f t="shared" si="14"/>
        <v>26</v>
      </c>
      <c r="AK14" s="504">
        <f t="shared" si="15"/>
        <v>10</v>
      </c>
      <c r="AL14" s="504" t="str">
        <f t="shared" si="16"/>
        <v>П.</v>
      </c>
      <c r="AM14" s="504">
        <f t="shared" si="17"/>
        <v>17</v>
      </c>
      <c r="AN14" s="504" t="str">
        <f t="shared" si="18"/>
        <v>С.</v>
      </c>
      <c r="AO14" s="505" t="str">
        <f t="shared" si="19"/>
        <v>САФРОНОВА</v>
      </c>
      <c r="AP14" s="504" t="str">
        <f t="shared" si="20"/>
        <v>П.С.</v>
      </c>
      <c r="AQ14" s="505" t="str">
        <f t="shared" si="21"/>
        <v>ПОЛИНА</v>
      </c>
      <c r="AR14" s="504">
        <f t="shared" si="22"/>
        <v>0</v>
      </c>
      <c r="AS14" s="504">
        <f t="shared" si="23"/>
        <v>1</v>
      </c>
      <c r="AT14" s="504">
        <f t="shared" si="24"/>
        <v>1</v>
      </c>
      <c r="AU14" s="506" t="str">
        <f t="shared" si="25"/>
        <v>САФРОНОВА</v>
      </c>
      <c r="AV14" s="120"/>
      <c r="AW14" s="500" t="str">
        <f t="shared" si="26"/>
        <v>КОПТЕВА / САФРОНОВА</v>
      </c>
      <c r="AX14" s="120"/>
      <c r="AY14" s="120"/>
      <c r="AZ14" s="120"/>
      <c r="BA14" s="120"/>
    </row>
    <row r="15" spans="1:53" s="446" customFormat="1" ht="25.5" customHeight="1">
      <c r="A15" s="553"/>
      <c r="B15" s="555">
        <v>4</v>
      </c>
      <c r="C15" s="575">
        <v>12</v>
      </c>
      <c r="D15" s="576">
        <v>12</v>
      </c>
      <c r="E15" s="442" t="s">
        <v>186</v>
      </c>
      <c r="F15" s="443">
        <v>31454</v>
      </c>
      <c r="G15" s="444">
        <v>38155</v>
      </c>
      <c r="H15" s="442" t="s">
        <v>207</v>
      </c>
      <c r="I15" s="443"/>
      <c r="J15" s="575">
        <v>29</v>
      </c>
      <c r="K15" s="576">
        <v>29</v>
      </c>
      <c r="L15" s="442" t="s">
        <v>188</v>
      </c>
      <c r="M15" s="443">
        <v>29149</v>
      </c>
      <c r="N15" s="444">
        <v>38139</v>
      </c>
      <c r="O15" s="442" t="s">
        <v>207</v>
      </c>
      <c r="P15" s="561"/>
      <c r="Q15" s="571">
        <f t="shared" si="0"/>
        <v>41</v>
      </c>
      <c r="R15" s="572">
        <f t="shared" si="0"/>
        <v>41</v>
      </c>
      <c r="S15" s="527"/>
      <c r="T15" s="528"/>
      <c r="U15" s="529" t="s">
        <v>210</v>
      </c>
      <c r="V15" s="445">
        <f t="shared" si="1"/>
        <v>0</v>
      </c>
      <c r="W15" s="504">
        <f t="shared" si="2"/>
        <v>29</v>
      </c>
      <c r="X15" s="504">
        <f t="shared" si="3"/>
        <v>9</v>
      </c>
      <c r="Y15" s="504" t="str">
        <f t="shared" si="4"/>
        <v>Е.</v>
      </c>
      <c r="Z15" s="504">
        <f t="shared" si="5"/>
        <v>19</v>
      </c>
      <c r="AA15" s="504" t="str">
        <f t="shared" si="6"/>
        <v>А.</v>
      </c>
      <c r="AB15" s="505" t="str">
        <f t="shared" si="7"/>
        <v>ЗАБАРЧУК</v>
      </c>
      <c r="AC15" s="504" t="str">
        <f t="shared" si="8"/>
        <v>Е.А.</v>
      </c>
      <c r="AD15" s="505" t="str">
        <f t="shared" si="9"/>
        <v>ЕКАТЕРИНА</v>
      </c>
      <c r="AE15" s="504">
        <f t="shared" si="10"/>
        <v>1</v>
      </c>
      <c r="AF15" s="504">
        <f t="shared" si="11"/>
        <v>0</v>
      </c>
      <c r="AG15" s="504">
        <f t="shared" si="12"/>
        <v>1</v>
      </c>
      <c r="AH15" s="506" t="str">
        <f t="shared" si="13"/>
        <v>ЗАБАРЧУК</v>
      </c>
      <c r="AI15" s="120"/>
      <c r="AJ15" s="504">
        <f t="shared" si="14"/>
        <v>29</v>
      </c>
      <c r="AK15" s="504">
        <f t="shared" si="15"/>
        <v>11</v>
      </c>
      <c r="AL15" s="504" t="str">
        <f t="shared" si="16"/>
        <v>В.</v>
      </c>
      <c r="AM15" s="504">
        <f t="shared" si="17"/>
        <v>19</v>
      </c>
      <c r="AN15" s="504" t="str">
        <f t="shared" si="18"/>
        <v>Д.</v>
      </c>
      <c r="AO15" s="505" t="str">
        <f t="shared" si="19"/>
        <v>ИВАНОВСКАЯ</v>
      </c>
      <c r="AP15" s="504" t="str">
        <f t="shared" si="20"/>
        <v>В.Д.</v>
      </c>
      <c r="AQ15" s="505" t="str">
        <f t="shared" si="21"/>
        <v>ВАЛЕРИЯ</v>
      </c>
      <c r="AR15" s="504">
        <f t="shared" si="22"/>
        <v>0</v>
      </c>
      <c r="AS15" s="504">
        <f t="shared" si="23"/>
        <v>1</v>
      </c>
      <c r="AT15" s="504">
        <f t="shared" si="24"/>
        <v>1</v>
      </c>
      <c r="AU15" s="506" t="str">
        <f t="shared" si="25"/>
        <v>ИВАНОВСКАЯ</v>
      </c>
      <c r="AV15" s="120"/>
      <c r="AW15" s="500" t="str">
        <f t="shared" si="26"/>
        <v>ЗАБАРЧУК / ИВАНОВСКАЯ</v>
      </c>
      <c r="AX15" s="120"/>
      <c r="AY15" s="120"/>
      <c r="AZ15" s="120"/>
      <c r="BA15" s="120"/>
    </row>
    <row r="16" spans="1:53" s="446" customFormat="1" ht="25.5" customHeight="1">
      <c r="A16" s="553"/>
      <c r="B16" s="555">
        <v>5</v>
      </c>
      <c r="C16" s="575">
        <v>16</v>
      </c>
      <c r="D16" s="576">
        <v>16</v>
      </c>
      <c r="E16" s="442" t="s">
        <v>180</v>
      </c>
      <c r="F16" s="443">
        <v>29430</v>
      </c>
      <c r="G16" s="444">
        <v>38132</v>
      </c>
      <c r="H16" s="442" t="s">
        <v>207</v>
      </c>
      <c r="I16" s="443"/>
      <c r="J16" s="575">
        <v>3</v>
      </c>
      <c r="K16" s="576">
        <v>3</v>
      </c>
      <c r="L16" s="442" t="s">
        <v>183</v>
      </c>
      <c r="M16" s="443">
        <v>31079</v>
      </c>
      <c r="N16" s="444">
        <v>38491</v>
      </c>
      <c r="O16" s="442" t="s">
        <v>207</v>
      </c>
      <c r="P16" s="561"/>
      <c r="Q16" s="571">
        <f t="shared" si="0"/>
        <v>19</v>
      </c>
      <c r="R16" s="572">
        <f t="shared" si="0"/>
        <v>19</v>
      </c>
      <c r="S16" s="527"/>
      <c r="T16" s="528"/>
      <c r="U16" s="529" t="s">
        <v>210</v>
      </c>
      <c r="V16" s="445">
        <f t="shared" si="1"/>
        <v>0</v>
      </c>
      <c r="W16" s="504">
        <f t="shared" si="2"/>
        <v>30</v>
      </c>
      <c r="X16" s="504">
        <f t="shared" si="3"/>
        <v>13</v>
      </c>
      <c r="Y16" s="504" t="str">
        <f t="shared" si="4"/>
        <v>К.</v>
      </c>
      <c r="Z16" s="504">
        <f t="shared" si="5"/>
        <v>20</v>
      </c>
      <c r="AA16" s="504" t="str">
        <f t="shared" si="6"/>
        <v>И.</v>
      </c>
      <c r="AB16" s="505" t="str">
        <f t="shared" si="7"/>
        <v>АСФАНДИЯРОВА</v>
      </c>
      <c r="AC16" s="504" t="str">
        <f t="shared" si="8"/>
        <v>К.И.</v>
      </c>
      <c r="AD16" s="505" t="str">
        <f t="shared" si="9"/>
        <v>КАРИНА</v>
      </c>
      <c r="AE16" s="504">
        <f t="shared" si="10"/>
        <v>1</v>
      </c>
      <c r="AF16" s="504">
        <f t="shared" si="11"/>
        <v>0</v>
      </c>
      <c r="AG16" s="504">
        <f t="shared" si="12"/>
        <v>1</v>
      </c>
      <c r="AH16" s="506" t="str">
        <f t="shared" si="13"/>
        <v>АСФАНДИЯРОВА</v>
      </c>
      <c r="AI16" s="120"/>
      <c r="AJ16" s="504">
        <f t="shared" si="14"/>
        <v>28</v>
      </c>
      <c r="AK16" s="504">
        <f t="shared" si="15"/>
        <v>10</v>
      </c>
      <c r="AL16" s="504" t="str">
        <f t="shared" si="16"/>
        <v>Е.</v>
      </c>
      <c r="AM16" s="504">
        <f t="shared" si="17"/>
        <v>18</v>
      </c>
      <c r="AN16" s="504" t="str">
        <f t="shared" si="18"/>
        <v>Д.</v>
      </c>
      <c r="AO16" s="505" t="str">
        <f t="shared" si="19"/>
        <v>ГОРЯИНОВА</v>
      </c>
      <c r="AP16" s="504" t="str">
        <f t="shared" si="20"/>
        <v>Е.Д.</v>
      </c>
      <c r="AQ16" s="505" t="str">
        <f t="shared" si="21"/>
        <v>ЕВГЕНИЯ</v>
      </c>
      <c r="AR16" s="504">
        <f t="shared" si="22"/>
        <v>0</v>
      </c>
      <c r="AS16" s="504">
        <f t="shared" si="23"/>
        <v>1</v>
      </c>
      <c r="AT16" s="504">
        <f t="shared" si="24"/>
        <v>1</v>
      </c>
      <c r="AU16" s="506" t="str">
        <f t="shared" si="25"/>
        <v>ГОРЯИНОВА</v>
      </c>
      <c r="AV16" s="120"/>
      <c r="AW16" s="500" t="str">
        <f t="shared" si="26"/>
        <v>АСФАНДИЯРОВА / ГОРЯИНОВА</v>
      </c>
      <c r="AX16" s="120"/>
      <c r="AY16" s="120"/>
      <c r="AZ16" s="120"/>
      <c r="BA16" s="120"/>
    </row>
    <row r="17" spans="1:53" s="446" customFormat="1" ht="25.5" customHeight="1">
      <c r="A17" s="553"/>
      <c r="B17" s="555">
        <v>6</v>
      </c>
      <c r="C17" s="575">
        <v>5</v>
      </c>
      <c r="D17" s="576">
        <v>5</v>
      </c>
      <c r="E17" s="442" t="s">
        <v>195</v>
      </c>
      <c r="F17" s="443">
        <v>31482</v>
      </c>
      <c r="G17" s="444">
        <v>38184</v>
      </c>
      <c r="H17" s="442" t="s">
        <v>175</v>
      </c>
      <c r="I17" s="443"/>
      <c r="J17" s="575">
        <v>0</v>
      </c>
      <c r="K17" s="576">
        <v>0</v>
      </c>
      <c r="L17" s="442" t="s">
        <v>197</v>
      </c>
      <c r="M17" s="443">
        <v>31641</v>
      </c>
      <c r="N17" s="444">
        <v>38619</v>
      </c>
      <c r="O17" s="442" t="s">
        <v>175</v>
      </c>
      <c r="P17" s="561"/>
      <c r="Q17" s="571">
        <f t="shared" si="0"/>
        <v>5</v>
      </c>
      <c r="R17" s="572">
        <f t="shared" si="0"/>
        <v>5</v>
      </c>
      <c r="S17" s="527"/>
      <c r="T17" s="528"/>
      <c r="U17" s="529" t="s">
        <v>210</v>
      </c>
      <c r="V17" s="445">
        <f t="shared" si="1"/>
        <v>0</v>
      </c>
      <c r="W17" s="504">
        <f t="shared" si="2"/>
        <v>27</v>
      </c>
      <c r="X17" s="504">
        <f t="shared" si="3"/>
        <v>11</v>
      </c>
      <c r="Y17" s="504" t="str">
        <f t="shared" si="4"/>
        <v>М.</v>
      </c>
      <c r="Z17" s="504">
        <f t="shared" si="5"/>
        <v>17</v>
      </c>
      <c r="AA17" s="504" t="str">
        <f t="shared" si="6"/>
        <v>Д.</v>
      </c>
      <c r="AB17" s="505" t="str">
        <f t="shared" si="7"/>
        <v>НЕСВЕТАЕВА</v>
      </c>
      <c r="AC17" s="504" t="str">
        <f t="shared" si="8"/>
        <v>М.Д.</v>
      </c>
      <c r="AD17" s="505" t="str">
        <f t="shared" si="9"/>
        <v>МАРИЯ</v>
      </c>
      <c r="AE17" s="504">
        <f t="shared" si="10"/>
        <v>1</v>
      </c>
      <c r="AF17" s="504">
        <f t="shared" si="11"/>
        <v>0</v>
      </c>
      <c r="AG17" s="504">
        <f t="shared" si="12"/>
        <v>1</v>
      </c>
      <c r="AH17" s="506" t="str">
        <f t="shared" si="13"/>
        <v>НЕСВЕТАЕВА</v>
      </c>
      <c r="AI17" s="120"/>
      <c r="AJ17" s="504">
        <f t="shared" si="14"/>
        <v>26</v>
      </c>
      <c r="AK17" s="504">
        <f t="shared" si="15"/>
        <v>10</v>
      </c>
      <c r="AL17" s="504" t="str">
        <f t="shared" si="16"/>
        <v>С.</v>
      </c>
      <c r="AM17" s="504">
        <f t="shared" si="17"/>
        <v>16</v>
      </c>
      <c r="AN17" s="504" t="str">
        <f t="shared" si="18"/>
        <v>А.</v>
      </c>
      <c r="AO17" s="505" t="str">
        <f t="shared" si="19"/>
        <v>ПЕРВУХИНА</v>
      </c>
      <c r="AP17" s="504" t="str">
        <f t="shared" si="20"/>
        <v>С.А.</v>
      </c>
      <c r="AQ17" s="505" t="str">
        <f t="shared" si="21"/>
        <v>СОФИЯ</v>
      </c>
      <c r="AR17" s="504">
        <f t="shared" si="22"/>
        <v>0</v>
      </c>
      <c r="AS17" s="504">
        <f t="shared" si="23"/>
        <v>1</v>
      </c>
      <c r="AT17" s="504">
        <f t="shared" si="24"/>
        <v>1</v>
      </c>
      <c r="AU17" s="506" t="str">
        <f t="shared" si="25"/>
        <v>ПЕРВУХИНА</v>
      </c>
      <c r="AV17" s="120"/>
      <c r="AW17" s="500" t="str">
        <f t="shared" si="26"/>
        <v>НЕСВЕТАЕВА / ПЕРВУХИНА</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561"/>
      <c r="Q18" s="571">
        <f t="shared" si="0"/>
        <v>0</v>
      </c>
      <c r="R18" s="572">
        <f t="shared" si="0"/>
        <v>0</v>
      </c>
      <c r="S18" s="527"/>
      <c r="T18" s="528"/>
      <c r="U18" s="529" t="s">
        <v>210</v>
      </c>
      <c r="V18" s="445">
        <f t="shared" si="1"/>
        <v>2</v>
      </c>
      <c r="W18" s="504">
        <f t="shared" si="2"/>
        <v>0</v>
      </c>
      <c r="X18" s="504">
        <f t="shared" si="3"/>
        <v>0</v>
      </c>
      <c r="Y18" s="504">
        <f t="shared" si="4"/>
      </c>
      <c r="Z18" s="504">
        <f t="shared" si="5"/>
        <v>0</v>
      </c>
      <c r="AA18" s="504">
        <f t="shared" si="6"/>
      </c>
      <c r="AB18" s="505">
        <f t="shared" si="7"/>
      </c>
      <c r="AC18" s="504">
        <f t="shared" si="8"/>
      </c>
      <c r="AD18" s="505">
        <f t="shared" si="9"/>
      </c>
      <c r="AE18" s="504">
        <f t="shared" si="10"/>
        <v>0</v>
      </c>
      <c r="AF18" s="504">
        <f t="shared" si="11"/>
        <v>0</v>
      </c>
      <c r="AG18" s="504">
        <f t="shared" si="12"/>
        <v>0</v>
      </c>
      <c r="AH18" s="506">
        <f t="shared" si="13"/>
      </c>
      <c r="AI18" s="120"/>
      <c r="AJ18" s="504">
        <f t="shared" si="14"/>
        <v>0</v>
      </c>
      <c r="AK18" s="504">
        <f t="shared" si="15"/>
        <v>0</v>
      </c>
      <c r="AL18" s="504">
        <f t="shared" si="16"/>
      </c>
      <c r="AM18" s="504">
        <f t="shared" si="17"/>
        <v>0</v>
      </c>
      <c r="AN18" s="504">
        <f t="shared" si="18"/>
      </c>
      <c r="AO18" s="505">
        <f t="shared" si="19"/>
      </c>
      <c r="AP18" s="504">
        <f t="shared" si="20"/>
      </c>
      <c r="AQ18" s="505">
        <f t="shared" si="21"/>
      </c>
      <c r="AR18" s="504">
        <f t="shared" si="22"/>
        <v>0</v>
      </c>
      <c r="AS18" s="504">
        <f t="shared" si="23"/>
        <v>0</v>
      </c>
      <c r="AT18" s="504">
        <f t="shared" si="24"/>
        <v>0</v>
      </c>
      <c r="AU18" s="506">
        <f t="shared" si="25"/>
      </c>
      <c r="AV18" s="120"/>
      <c r="AW18" s="500" t="str">
        <f t="shared" si="26"/>
        <v> / </v>
      </c>
      <c r="AX18" s="120"/>
      <c r="AY18" s="120"/>
      <c r="AZ18" s="120"/>
      <c r="BA18" s="120"/>
    </row>
    <row r="19" spans="1:53" s="446" customFormat="1" ht="25.5" customHeight="1" hidden="1">
      <c r="A19" s="553"/>
      <c r="B19" s="555">
        <v>8</v>
      </c>
      <c r="C19" s="575"/>
      <c r="D19" s="576"/>
      <c r="E19" s="442"/>
      <c r="F19" s="443"/>
      <c r="G19" s="444"/>
      <c r="H19" s="442"/>
      <c r="I19" s="443"/>
      <c r="J19" s="575"/>
      <c r="K19" s="576"/>
      <c r="L19" s="442"/>
      <c r="M19" s="443"/>
      <c r="N19" s="444"/>
      <c r="O19" s="442"/>
      <c r="P19" s="561"/>
      <c r="Q19" s="571">
        <f aca="true" t="shared" si="27" ref="Q19:Q43">C19+J19</f>
        <v>0</v>
      </c>
      <c r="R19" s="572">
        <f aca="true" t="shared" si="28" ref="R19:R43">D19+K19</f>
        <v>0</v>
      </c>
      <c r="S19" s="527"/>
      <c r="T19" s="528"/>
      <c r="U19" s="529"/>
      <c r="V19" s="445">
        <f aca="true" t="shared" si="29" ref="V19:V37">IF(ISBLANK(E19),2,IF(ISBLANK(S19),0,1))</f>
        <v>2</v>
      </c>
      <c r="W19" s="504">
        <f t="shared" si="2"/>
        <v>0</v>
      </c>
      <c r="X19" s="504">
        <f t="shared" si="3"/>
        <v>0</v>
      </c>
      <c r="Y19" s="504">
        <f t="shared" si="4"/>
      </c>
      <c r="Z19" s="504">
        <f t="shared" si="5"/>
        <v>0</v>
      </c>
      <c r="AA19" s="504">
        <f t="shared" si="6"/>
      </c>
      <c r="AB19" s="505">
        <f t="shared" si="7"/>
      </c>
      <c r="AC19" s="504">
        <f t="shared" si="8"/>
      </c>
      <c r="AD19" s="505">
        <f t="shared" si="9"/>
      </c>
      <c r="AE19" s="504">
        <f t="shared" si="10"/>
        <v>0</v>
      </c>
      <c r="AF19" s="504">
        <f t="shared" si="11"/>
        <v>0</v>
      </c>
      <c r="AG19" s="504">
        <f t="shared" si="12"/>
        <v>0</v>
      </c>
      <c r="AH19" s="506">
        <f t="shared" si="13"/>
      </c>
      <c r="AI19" s="120"/>
      <c r="AJ19" s="504">
        <f t="shared" si="14"/>
        <v>0</v>
      </c>
      <c r="AK19" s="504">
        <f t="shared" si="15"/>
        <v>0</v>
      </c>
      <c r="AL19" s="504">
        <f t="shared" si="16"/>
      </c>
      <c r="AM19" s="504">
        <f t="shared" si="17"/>
        <v>0</v>
      </c>
      <c r="AN19" s="504">
        <f t="shared" si="18"/>
      </c>
      <c r="AO19" s="505">
        <f t="shared" si="19"/>
      </c>
      <c r="AP19" s="504">
        <f t="shared" si="20"/>
      </c>
      <c r="AQ19" s="505">
        <f t="shared" si="21"/>
      </c>
      <c r="AR19" s="504">
        <f t="shared" si="22"/>
        <v>0</v>
      </c>
      <c r="AS19" s="504">
        <f t="shared" si="23"/>
        <v>0</v>
      </c>
      <c r="AT19" s="504">
        <f t="shared" si="24"/>
        <v>0</v>
      </c>
      <c r="AU19" s="506">
        <f t="shared" si="25"/>
      </c>
      <c r="AV19" s="120"/>
      <c r="AW19" s="500" t="str">
        <f t="shared" si="26"/>
        <v> / </v>
      </c>
      <c r="AX19" s="120"/>
      <c r="AY19" s="120"/>
      <c r="AZ19" s="120"/>
      <c r="BA19" s="120"/>
    </row>
    <row r="20" spans="1:53" s="446" customFormat="1" ht="25.5" customHeight="1" hidden="1">
      <c r="A20" s="553"/>
      <c r="B20" s="555">
        <v>9</v>
      </c>
      <c r="C20" s="575"/>
      <c r="D20" s="576"/>
      <c r="E20" s="442"/>
      <c r="F20" s="443"/>
      <c r="G20" s="444"/>
      <c r="H20" s="442"/>
      <c r="I20" s="443"/>
      <c r="J20" s="575"/>
      <c r="K20" s="576"/>
      <c r="L20" s="442"/>
      <c r="M20" s="443"/>
      <c r="N20" s="444"/>
      <c r="O20" s="442"/>
      <c r="P20" s="561"/>
      <c r="Q20" s="571">
        <f t="shared" si="27"/>
        <v>0</v>
      </c>
      <c r="R20" s="572">
        <f t="shared" si="28"/>
        <v>0</v>
      </c>
      <c r="S20" s="527"/>
      <c r="T20" s="528"/>
      <c r="U20" s="529"/>
      <c r="V20" s="445">
        <f t="shared" si="29"/>
        <v>2</v>
      </c>
      <c r="W20" s="504">
        <f t="shared" si="2"/>
        <v>0</v>
      </c>
      <c r="X20" s="504">
        <f t="shared" si="3"/>
        <v>0</v>
      </c>
      <c r="Y20" s="504">
        <f t="shared" si="4"/>
      </c>
      <c r="Z20" s="504">
        <f t="shared" si="5"/>
        <v>0</v>
      </c>
      <c r="AA20" s="504">
        <f t="shared" si="6"/>
      </c>
      <c r="AB20" s="505">
        <f t="shared" si="7"/>
      </c>
      <c r="AC20" s="504">
        <f t="shared" si="8"/>
      </c>
      <c r="AD20" s="505">
        <f t="shared" si="9"/>
      </c>
      <c r="AE20" s="504">
        <f t="shared" si="10"/>
        <v>0</v>
      </c>
      <c r="AF20" s="504">
        <f t="shared" si="11"/>
        <v>0</v>
      </c>
      <c r="AG20" s="504">
        <f t="shared" si="12"/>
        <v>0</v>
      </c>
      <c r="AH20" s="506">
        <f t="shared" si="13"/>
      </c>
      <c r="AI20" s="120"/>
      <c r="AJ20" s="504">
        <f t="shared" si="14"/>
        <v>0</v>
      </c>
      <c r="AK20" s="504">
        <f t="shared" si="15"/>
        <v>0</v>
      </c>
      <c r="AL20" s="504">
        <f t="shared" si="16"/>
      </c>
      <c r="AM20" s="504">
        <f t="shared" si="17"/>
        <v>0</v>
      </c>
      <c r="AN20" s="504">
        <f t="shared" si="18"/>
      </c>
      <c r="AO20" s="505">
        <f t="shared" si="19"/>
      </c>
      <c r="AP20" s="504">
        <f t="shared" si="20"/>
      </c>
      <c r="AQ20" s="505">
        <f t="shared" si="21"/>
      </c>
      <c r="AR20" s="504">
        <f t="shared" si="22"/>
        <v>0</v>
      </c>
      <c r="AS20" s="504">
        <f t="shared" si="23"/>
        <v>0</v>
      </c>
      <c r="AT20" s="504">
        <f t="shared" si="24"/>
        <v>0</v>
      </c>
      <c r="AU20" s="506">
        <f t="shared" si="25"/>
      </c>
      <c r="AV20" s="120"/>
      <c r="AW20" s="500" t="str">
        <f t="shared" si="26"/>
        <v> / </v>
      </c>
      <c r="AX20" s="120"/>
      <c r="AY20" s="120"/>
      <c r="AZ20" s="120"/>
      <c r="BA20" s="120"/>
    </row>
    <row r="21" spans="1:53" s="446" customFormat="1" ht="25.5" customHeight="1" hidden="1">
      <c r="A21" s="553"/>
      <c r="B21" s="555">
        <v>10</v>
      </c>
      <c r="C21" s="575"/>
      <c r="D21" s="576"/>
      <c r="E21" s="442"/>
      <c r="F21" s="443"/>
      <c r="G21" s="444"/>
      <c r="H21" s="442"/>
      <c r="I21" s="443"/>
      <c r="J21" s="575"/>
      <c r="K21" s="576"/>
      <c r="L21" s="442"/>
      <c r="M21" s="443"/>
      <c r="N21" s="444"/>
      <c r="O21" s="442"/>
      <c r="P21" s="561"/>
      <c r="Q21" s="571">
        <f t="shared" si="27"/>
        <v>0</v>
      </c>
      <c r="R21" s="572">
        <f t="shared" si="28"/>
        <v>0</v>
      </c>
      <c r="S21" s="527"/>
      <c r="T21" s="528"/>
      <c r="U21" s="529"/>
      <c r="V21" s="445">
        <f t="shared" si="29"/>
        <v>2</v>
      </c>
      <c r="W21" s="504">
        <f aca="true" t="shared" si="30" ref="W21:W43">LEN(E21)</f>
        <v>0</v>
      </c>
      <c r="X21" s="504">
        <f aca="true" t="shared" si="31" ref="X21:X43">IF((W21)=0,0,FIND(" ",E21))</f>
        <v>0</v>
      </c>
      <c r="Y21" s="504">
        <f aca="true" t="shared" si="32" ref="Y21:Y43">IF(OR(ISERR(X21),W21=0),"",CONCATENATE(MID(E21,X21+1,1),"."))</f>
      </c>
      <c r="Z21" s="504">
        <f aca="true" t="shared" si="33" ref="Z21:Z43">IF(LEN(E21)=0,0,FIND(" ",E21,X21+1))</f>
        <v>0</v>
      </c>
      <c r="AA21" s="504">
        <f aca="true" t="shared" si="34" ref="AA21:AA43">IF(OR(W21=0,ISERR(Z21)),"",CONCATENATE(MID(E21,Z21+1,1),"."))</f>
      </c>
      <c r="AB21" s="505">
        <f aca="true" t="shared" si="35" ref="AB21:AB43">IF(E21="","",IF(ISERR(X21),UPPER(E21),UPPER(MID(E21,1,X21-1))))</f>
      </c>
      <c r="AC21" s="504">
        <f aca="true" t="shared" si="36" ref="AC21:AC43">CONCATENATE(Y21,AA21)</f>
      </c>
      <c r="AD21" s="505">
        <f aca="true" t="shared" si="37" ref="AD21:AD43">IF(E21="","",IF(ISERR(X21),"",UPPER(MID(E21,X21+1,Z21-X21-1))))</f>
      </c>
      <c r="AE21" s="504">
        <f aca="true" t="shared" si="38" ref="AE21:AE43">IF(E21="",0,COUNTIF($AB$12:$AB$43,AB21))</f>
        <v>0</v>
      </c>
      <c r="AF21" s="504">
        <f aca="true" t="shared" si="39" ref="AF21:AF43">IF(E21="",0,COUNTIF($AO$12:$AO$43,AB21))</f>
        <v>0</v>
      </c>
      <c r="AG21" s="504">
        <f aca="true" t="shared" si="40" ref="AG21:AG43">AE21+AF21</f>
        <v>0</v>
      </c>
      <c r="AH21" s="506">
        <f aca="true" t="shared" si="41" ref="AH21:AH43">IF(E21="","",IF(AG21&gt;1,CONCATENATE(AB21," ",AD21),AB21))</f>
      </c>
      <c r="AI21" s="120"/>
      <c r="AJ21" s="504">
        <f aca="true" t="shared" si="42" ref="AJ21:AJ43">LEN(L21)</f>
        <v>0</v>
      </c>
      <c r="AK21" s="504">
        <f aca="true" t="shared" si="43" ref="AK21:AK43">IF((AJ21)=0,0,FIND(" ",L21))</f>
        <v>0</v>
      </c>
      <c r="AL21" s="504">
        <f aca="true" t="shared" si="44" ref="AL21:AL43">IF(OR(ISERR(AK21),AJ21=0),"",CONCATENATE(MID(L21,AK21+1,1),"."))</f>
      </c>
      <c r="AM21" s="504">
        <f aca="true" t="shared" si="45" ref="AM21:AM43">IF(LEN(L21)=0,0,FIND(" ",L21,AK21+1))</f>
        <v>0</v>
      </c>
      <c r="AN21" s="504">
        <f aca="true" t="shared" si="46" ref="AN21:AN43">IF(OR(AJ21=0,ISERR(AM21)),"",CONCATENATE(MID(L21,AM21+1,1),"."))</f>
      </c>
      <c r="AO21" s="505">
        <f aca="true" t="shared" si="47" ref="AO21:AO43">IF(L21="","",IF(ISERR(AK21),UPPER(L21),UPPER(MID(L21,1,AK21-1))))</f>
      </c>
      <c r="AP21" s="504">
        <f aca="true" t="shared" si="48" ref="AP21:AP43">CONCATENATE(AL21,AN21)</f>
      </c>
      <c r="AQ21" s="505">
        <f aca="true" t="shared" si="49" ref="AQ21:AQ43">IF(L21="","",IF(ISERR(AK21),"",UPPER(MID(L21,AK21+1,AM21-AK21-1))))</f>
      </c>
      <c r="AR21" s="504">
        <f aca="true" t="shared" si="50" ref="AR21:AR43">IF(L21="",0,COUNTIF($AB$12:$AB$43,AO21))</f>
        <v>0</v>
      </c>
      <c r="AS21" s="504">
        <f aca="true" t="shared" si="51" ref="AS21:AS43">IF(L21="",0,COUNTIF($AO$12:$AO$43,AO21))</f>
        <v>0</v>
      </c>
      <c r="AT21" s="504">
        <f aca="true" t="shared" si="52" ref="AT21:AT43">AR21+AS21</f>
        <v>0</v>
      </c>
      <c r="AU21" s="506">
        <f aca="true" t="shared" si="53" ref="AU21:AU43">IF(L21="","",IF(AT21&gt;1,CONCATENATE(AO21," ",AQ21),AO21))</f>
      </c>
      <c r="AV21" s="120"/>
      <c r="AW21" s="500" t="str">
        <f aca="true" t="shared" si="54" ref="AW21:AW43">CONCATENATE(AH21," / ",AU21)</f>
        <v> / </v>
      </c>
      <c r="AX21" s="120"/>
      <c r="AY21" s="120"/>
      <c r="AZ21" s="120"/>
      <c r="BA21" s="120"/>
    </row>
    <row r="22" spans="1:53" s="446" customFormat="1" ht="25.5" customHeight="1" hidden="1">
      <c r="A22" s="553"/>
      <c r="B22" s="555">
        <v>11</v>
      </c>
      <c r="C22" s="575"/>
      <c r="D22" s="576"/>
      <c r="E22" s="442"/>
      <c r="F22" s="443"/>
      <c r="G22" s="444"/>
      <c r="H22" s="442"/>
      <c r="I22" s="443"/>
      <c r="J22" s="575"/>
      <c r="K22" s="576"/>
      <c r="L22" s="442"/>
      <c r="M22" s="443"/>
      <c r="N22" s="444"/>
      <c r="O22" s="442"/>
      <c r="P22" s="561"/>
      <c r="Q22" s="571">
        <f t="shared" si="27"/>
        <v>0</v>
      </c>
      <c r="R22" s="572">
        <f t="shared" si="28"/>
        <v>0</v>
      </c>
      <c r="S22" s="527"/>
      <c r="T22" s="528"/>
      <c r="U22" s="529"/>
      <c r="V22" s="445">
        <f t="shared" si="29"/>
        <v>2</v>
      </c>
      <c r="W22" s="504">
        <f t="shared" si="30"/>
        <v>0</v>
      </c>
      <c r="X22" s="504">
        <f t="shared" si="31"/>
        <v>0</v>
      </c>
      <c r="Y22" s="504">
        <f t="shared" si="32"/>
      </c>
      <c r="Z22" s="504">
        <f t="shared" si="33"/>
        <v>0</v>
      </c>
      <c r="AA22" s="504">
        <f t="shared" si="34"/>
      </c>
      <c r="AB22" s="505">
        <f t="shared" si="35"/>
      </c>
      <c r="AC22" s="504">
        <f t="shared" si="36"/>
      </c>
      <c r="AD22" s="505">
        <f t="shared" si="37"/>
      </c>
      <c r="AE22" s="504">
        <f t="shared" si="38"/>
        <v>0</v>
      </c>
      <c r="AF22" s="504">
        <f t="shared" si="39"/>
        <v>0</v>
      </c>
      <c r="AG22" s="504">
        <f t="shared" si="40"/>
        <v>0</v>
      </c>
      <c r="AH22" s="506">
        <f t="shared" si="41"/>
      </c>
      <c r="AI22" s="120"/>
      <c r="AJ22" s="504">
        <f t="shared" si="42"/>
        <v>0</v>
      </c>
      <c r="AK22" s="504">
        <f t="shared" si="43"/>
        <v>0</v>
      </c>
      <c r="AL22" s="504">
        <f t="shared" si="44"/>
      </c>
      <c r="AM22" s="504">
        <f t="shared" si="45"/>
        <v>0</v>
      </c>
      <c r="AN22" s="504">
        <f t="shared" si="46"/>
      </c>
      <c r="AO22" s="505">
        <f t="shared" si="47"/>
      </c>
      <c r="AP22" s="504">
        <f t="shared" si="48"/>
      </c>
      <c r="AQ22" s="505">
        <f t="shared" si="49"/>
      </c>
      <c r="AR22" s="504">
        <f t="shared" si="50"/>
        <v>0</v>
      </c>
      <c r="AS22" s="504">
        <f t="shared" si="51"/>
        <v>0</v>
      </c>
      <c r="AT22" s="504">
        <f t="shared" si="52"/>
        <v>0</v>
      </c>
      <c r="AU22" s="506">
        <f t="shared" si="53"/>
      </c>
      <c r="AV22" s="120"/>
      <c r="AW22" s="500" t="str">
        <f t="shared" si="54"/>
        <v> / </v>
      </c>
      <c r="AX22" s="120"/>
      <c r="AY22" s="120"/>
      <c r="AZ22" s="120"/>
      <c r="BA22" s="120"/>
    </row>
    <row r="23" spans="1:53" s="446" customFormat="1" ht="25.5" customHeight="1" hidden="1">
      <c r="A23" s="553"/>
      <c r="B23" s="555">
        <v>12</v>
      </c>
      <c r="C23" s="575"/>
      <c r="D23" s="576"/>
      <c r="E23" s="442"/>
      <c r="F23" s="443"/>
      <c r="G23" s="444"/>
      <c r="H23" s="442"/>
      <c r="I23" s="443"/>
      <c r="J23" s="575"/>
      <c r="K23" s="576"/>
      <c r="L23" s="442"/>
      <c r="M23" s="443"/>
      <c r="N23" s="444"/>
      <c r="O23" s="442"/>
      <c r="P23" s="561"/>
      <c r="Q23" s="571">
        <f t="shared" si="27"/>
        <v>0</v>
      </c>
      <c r="R23" s="572">
        <f t="shared" si="28"/>
        <v>0</v>
      </c>
      <c r="S23" s="527"/>
      <c r="T23" s="528"/>
      <c r="U23" s="529"/>
      <c r="V23" s="445">
        <f t="shared" si="29"/>
        <v>2</v>
      </c>
      <c r="W23" s="504">
        <f t="shared" si="30"/>
        <v>0</v>
      </c>
      <c r="X23" s="504">
        <f t="shared" si="31"/>
        <v>0</v>
      </c>
      <c r="Y23" s="504">
        <f t="shared" si="32"/>
      </c>
      <c r="Z23" s="504">
        <f t="shared" si="33"/>
        <v>0</v>
      </c>
      <c r="AA23" s="504">
        <f t="shared" si="34"/>
      </c>
      <c r="AB23" s="505">
        <f t="shared" si="35"/>
      </c>
      <c r="AC23" s="504">
        <f t="shared" si="36"/>
      </c>
      <c r="AD23" s="505">
        <f t="shared" si="37"/>
      </c>
      <c r="AE23" s="504">
        <f t="shared" si="38"/>
        <v>0</v>
      </c>
      <c r="AF23" s="504">
        <f t="shared" si="39"/>
        <v>0</v>
      </c>
      <c r="AG23" s="504">
        <f t="shared" si="40"/>
        <v>0</v>
      </c>
      <c r="AH23" s="506">
        <f t="shared" si="41"/>
      </c>
      <c r="AI23" s="120"/>
      <c r="AJ23" s="504">
        <f t="shared" si="42"/>
        <v>0</v>
      </c>
      <c r="AK23" s="504">
        <f t="shared" si="43"/>
        <v>0</v>
      </c>
      <c r="AL23" s="504">
        <f t="shared" si="44"/>
      </c>
      <c r="AM23" s="504">
        <f t="shared" si="45"/>
        <v>0</v>
      </c>
      <c r="AN23" s="504">
        <f t="shared" si="46"/>
      </c>
      <c r="AO23" s="505">
        <f t="shared" si="47"/>
      </c>
      <c r="AP23" s="504">
        <f t="shared" si="48"/>
      </c>
      <c r="AQ23" s="505">
        <f t="shared" si="49"/>
      </c>
      <c r="AR23" s="504">
        <f t="shared" si="50"/>
        <v>0</v>
      </c>
      <c r="AS23" s="504">
        <f t="shared" si="51"/>
        <v>0</v>
      </c>
      <c r="AT23" s="504">
        <f t="shared" si="52"/>
        <v>0</v>
      </c>
      <c r="AU23" s="506">
        <f t="shared" si="53"/>
      </c>
      <c r="AV23" s="120"/>
      <c r="AW23" s="500" t="str">
        <f t="shared" si="54"/>
        <v> / </v>
      </c>
      <c r="AX23" s="120"/>
      <c r="AY23" s="120"/>
      <c r="AZ23" s="120"/>
      <c r="BA23" s="120"/>
    </row>
    <row r="24" spans="1:53" s="446" customFormat="1" ht="25.5" customHeight="1" hidden="1">
      <c r="A24" s="553"/>
      <c r="B24" s="555">
        <v>13</v>
      </c>
      <c r="C24" s="575"/>
      <c r="D24" s="576"/>
      <c r="E24" s="442"/>
      <c r="F24" s="443"/>
      <c r="G24" s="444"/>
      <c r="H24" s="442"/>
      <c r="I24" s="443"/>
      <c r="J24" s="575"/>
      <c r="K24" s="576"/>
      <c r="L24" s="442"/>
      <c r="M24" s="443"/>
      <c r="N24" s="444"/>
      <c r="O24" s="442"/>
      <c r="P24" s="561"/>
      <c r="Q24" s="571">
        <f t="shared" si="27"/>
        <v>0</v>
      </c>
      <c r="R24" s="572">
        <f t="shared" si="28"/>
        <v>0</v>
      </c>
      <c r="S24" s="527"/>
      <c r="T24" s="528"/>
      <c r="U24" s="529"/>
      <c r="V24" s="445">
        <f t="shared" si="29"/>
        <v>2</v>
      </c>
      <c r="W24" s="504">
        <f t="shared" si="30"/>
        <v>0</v>
      </c>
      <c r="X24" s="504">
        <f t="shared" si="31"/>
        <v>0</v>
      </c>
      <c r="Y24" s="504">
        <f t="shared" si="32"/>
      </c>
      <c r="Z24" s="504">
        <f t="shared" si="33"/>
        <v>0</v>
      </c>
      <c r="AA24" s="504">
        <f t="shared" si="34"/>
      </c>
      <c r="AB24" s="505">
        <f t="shared" si="35"/>
      </c>
      <c r="AC24" s="504">
        <f t="shared" si="36"/>
      </c>
      <c r="AD24" s="505">
        <f t="shared" si="37"/>
      </c>
      <c r="AE24" s="504">
        <f t="shared" si="38"/>
        <v>0</v>
      </c>
      <c r="AF24" s="504">
        <f t="shared" si="39"/>
        <v>0</v>
      </c>
      <c r="AG24" s="504">
        <f t="shared" si="40"/>
        <v>0</v>
      </c>
      <c r="AH24" s="506">
        <f t="shared" si="41"/>
      </c>
      <c r="AI24" s="120"/>
      <c r="AJ24" s="504">
        <f t="shared" si="42"/>
        <v>0</v>
      </c>
      <c r="AK24" s="504">
        <f t="shared" si="43"/>
        <v>0</v>
      </c>
      <c r="AL24" s="504">
        <f t="shared" si="44"/>
      </c>
      <c r="AM24" s="504">
        <f t="shared" si="45"/>
        <v>0</v>
      </c>
      <c r="AN24" s="504">
        <f t="shared" si="46"/>
      </c>
      <c r="AO24" s="505">
        <f t="shared" si="47"/>
      </c>
      <c r="AP24" s="504">
        <f t="shared" si="48"/>
      </c>
      <c r="AQ24" s="505">
        <f t="shared" si="49"/>
      </c>
      <c r="AR24" s="504">
        <f t="shared" si="50"/>
        <v>0</v>
      </c>
      <c r="AS24" s="504">
        <f t="shared" si="51"/>
        <v>0</v>
      </c>
      <c r="AT24" s="504">
        <f t="shared" si="52"/>
        <v>0</v>
      </c>
      <c r="AU24" s="506">
        <f t="shared" si="53"/>
      </c>
      <c r="AV24" s="120"/>
      <c r="AW24" s="500" t="str">
        <f t="shared" si="54"/>
        <v> / </v>
      </c>
      <c r="AX24" s="120"/>
      <c r="AY24" s="120"/>
      <c r="AZ24" s="120"/>
      <c r="BA24" s="120"/>
    </row>
    <row r="25" spans="1:53" s="446" customFormat="1" ht="25.5" customHeight="1" hidden="1">
      <c r="A25" s="553"/>
      <c r="B25" s="555">
        <v>14</v>
      </c>
      <c r="C25" s="575"/>
      <c r="D25" s="576"/>
      <c r="E25" s="442"/>
      <c r="F25" s="443"/>
      <c r="G25" s="444"/>
      <c r="H25" s="442"/>
      <c r="I25" s="443"/>
      <c r="J25" s="575"/>
      <c r="K25" s="576"/>
      <c r="L25" s="442"/>
      <c r="M25" s="443"/>
      <c r="N25" s="444"/>
      <c r="O25" s="442"/>
      <c r="P25" s="561"/>
      <c r="Q25" s="571">
        <f t="shared" si="27"/>
        <v>0</v>
      </c>
      <c r="R25" s="572">
        <f t="shared" si="28"/>
        <v>0</v>
      </c>
      <c r="S25" s="527"/>
      <c r="T25" s="528"/>
      <c r="U25" s="529"/>
      <c r="V25" s="445">
        <f t="shared" si="29"/>
        <v>2</v>
      </c>
      <c r="W25" s="504">
        <f t="shared" si="30"/>
        <v>0</v>
      </c>
      <c r="X25" s="504">
        <f t="shared" si="31"/>
        <v>0</v>
      </c>
      <c r="Y25" s="504">
        <f t="shared" si="32"/>
      </c>
      <c r="Z25" s="504">
        <f t="shared" si="33"/>
        <v>0</v>
      </c>
      <c r="AA25" s="504">
        <f t="shared" si="34"/>
      </c>
      <c r="AB25" s="505">
        <f t="shared" si="35"/>
      </c>
      <c r="AC25" s="504">
        <f t="shared" si="36"/>
      </c>
      <c r="AD25" s="505">
        <f t="shared" si="37"/>
      </c>
      <c r="AE25" s="504">
        <f t="shared" si="38"/>
        <v>0</v>
      </c>
      <c r="AF25" s="504">
        <f t="shared" si="39"/>
        <v>0</v>
      </c>
      <c r="AG25" s="504">
        <f t="shared" si="40"/>
        <v>0</v>
      </c>
      <c r="AH25" s="506">
        <f t="shared" si="41"/>
      </c>
      <c r="AI25" s="120"/>
      <c r="AJ25" s="504">
        <f t="shared" si="42"/>
        <v>0</v>
      </c>
      <c r="AK25" s="504">
        <f t="shared" si="43"/>
        <v>0</v>
      </c>
      <c r="AL25" s="504">
        <f t="shared" si="44"/>
      </c>
      <c r="AM25" s="504">
        <f t="shared" si="45"/>
        <v>0</v>
      </c>
      <c r="AN25" s="504">
        <f t="shared" si="46"/>
      </c>
      <c r="AO25" s="505">
        <f t="shared" si="47"/>
      </c>
      <c r="AP25" s="504">
        <f t="shared" si="48"/>
      </c>
      <c r="AQ25" s="505">
        <f t="shared" si="49"/>
      </c>
      <c r="AR25" s="504">
        <f t="shared" si="50"/>
        <v>0</v>
      </c>
      <c r="AS25" s="504">
        <f t="shared" si="51"/>
        <v>0</v>
      </c>
      <c r="AT25" s="504">
        <f t="shared" si="52"/>
        <v>0</v>
      </c>
      <c r="AU25" s="506">
        <f t="shared" si="53"/>
      </c>
      <c r="AV25" s="120"/>
      <c r="AW25" s="500" t="str">
        <f t="shared" si="54"/>
        <v> / </v>
      </c>
      <c r="AX25" s="120"/>
      <c r="AY25" s="120"/>
      <c r="AZ25" s="120"/>
      <c r="BA25" s="120"/>
    </row>
    <row r="26" spans="1:53" s="446" customFormat="1" ht="25.5" customHeight="1" hidden="1">
      <c r="A26" s="553"/>
      <c r="B26" s="555">
        <v>15</v>
      </c>
      <c r="C26" s="575"/>
      <c r="D26" s="576"/>
      <c r="E26" s="442"/>
      <c r="F26" s="443"/>
      <c r="G26" s="444"/>
      <c r="H26" s="442"/>
      <c r="I26" s="443"/>
      <c r="J26" s="575"/>
      <c r="K26" s="576"/>
      <c r="L26" s="442"/>
      <c r="M26" s="443"/>
      <c r="N26" s="444"/>
      <c r="O26" s="442"/>
      <c r="P26" s="561"/>
      <c r="Q26" s="571">
        <f t="shared" si="27"/>
        <v>0</v>
      </c>
      <c r="R26" s="572">
        <f t="shared" si="28"/>
        <v>0</v>
      </c>
      <c r="S26" s="527"/>
      <c r="T26" s="528"/>
      <c r="U26" s="529"/>
      <c r="V26" s="445">
        <f t="shared" si="29"/>
        <v>2</v>
      </c>
      <c r="W26" s="504">
        <f t="shared" si="30"/>
        <v>0</v>
      </c>
      <c r="X26" s="504">
        <f t="shared" si="31"/>
        <v>0</v>
      </c>
      <c r="Y26" s="504">
        <f t="shared" si="32"/>
      </c>
      <c r="Z26" s="504">
        <f t="shared" si="33"/>
        <v>0</v>
      </c>
      <c r="AA26" s="504">
        <f t="shared" si="34"/>
      </c>
      <c r="AB26" s="505">
        <f t="shared" si="35"/>
      </c>
      <c r="AC26" s="504">
        <f t="shared" si="36"/>
      </c>
      <c r="AD26" s="505">
        <f t="shared" si="37"/>
      </c>
      <c r="AE26" s="504">
        <f t="shared" si="38"/>
        <v>0</v>
      </c>
      <c r="AF26" s="504">
        <f t="shared" si="39"/>
        <v>0</v>
      </c>
      <c r="AG26" s="504">
        <f t="shared" si="40"/>
        <v>0</v>
      </c>
      <c r="AH26" s="506">
        <f t="shared" si="41"/>
      </c>
      <c r="AI26" s="120"/>
      <c r="AJ26" s="504">
        <f t="shared" si="42"/>
        <v>0</v>
      </c>
      <c r="AK26" s="504">
        <f t="shared" si="43"/>
        <v>0</v>
      </c>
      <c r="AL26" s="504">
        <f t="shared" si="44"/>
      </c>
      <c r="AM26" s="504">
        <f t="shared" si="45"/>
        <v>0</v>
      </c>
      <c r="AN26" s="504">
        <f t="shared" si="46"/>
      </c>
      <c r="AO26" s="505">
        <f t="shared" si="47"/>
      </c>
      <c r="AP26" s="504">
        <f t="shared" si="48"/>
      </c>
      <c r="AQ26" s="505">
        <f t="shared" si="49"/>
      </c>
      <c r="AR26" s="504">
        <f t="shared" si="50"/>
        <v>0</v>
      </c>
      <c r="AS26" s="504">
        <f t="shared" si="51"/>
        <v>0</v>
      </c>
      <c r="AT26" s="504">
        <f t="shared" si="52"/>
        <v>0</v>
      </c>
      <c r="AU26" s="506">
        <f t="shared" si="53"/>
      </c>
      <c r="AV26" s="120"/>
      <c r="AW26" s="500" t="str">
        <f t="shared" si="54"/>
        <v> / </v>
      </c>
      <c r="AX26" s="120"/>
      <c r="AY26" s="120"/>
      <c r="AZ26" s="120"/>
      <c r="BA26" s="120"/>
    </row>
    <row r="27" spans="1:53" s="446" customFormat="1" ht="25.5" customHeight="1" hidden="1">
      <c r="A27" s="553"/>
      <c r="B27" s="555">
        <v>16</v>
      </c>
      <c r="C27" s="575"/>
      <c r="D27" s="576"/>
      <c r="E27" s="442"/>
      <c r="F27" s="443"/>
      <c r="G27" s="444"/>
      <c r="H27" s="442"/>
      <c r="I27" s="443"/>
      <c r="J27" s="575"/>
      <c r="K27" s="576"/>
      <c r="L27" s="442"/>
      <c r="M27" s="443"/>
      <c r="N27" s="444"/>
      <c r="O27" s="442"/>
      <c r="P27" s="561"/>
      <c r="Q27" s="571">
        <f t="shared" si="27"/>
        <v>0</v>
      </c>
      <c r="R27" s="572">
        <f t="shared" si="28"/>
        <v>0</v>
      </c>
      <c r="S27" s="527"/>
      <c r="T27" s="528"/>
      <c r="U27" s="529"/>
      <c r="V27" s="445">
        <f t="shared" si="29"/>
        <v>2</v>
      </c>
      <c r="W27" s="504">
        <f t="shared" si="30"/>
        <v>0</v>
      </c>
      <c r="X27" s="504">
        <f t="shared" si="31"/>
        <v>0</v>
      </c>
      <c r="Y27" s="504">
        <f t="shared" si="32"/>
      </c>
      <c r="Z27" s="504">
        <f t="shared" si="33"/>
        <v>0</v>
      </c>
      <c r="AA27" s="504">
        <f t="shared" si="34"/>
      </c>
      <c r="AB27" s="505">
        <f t="shared" si="35"/>
      </c>
      <c r="AC27" s="504">
        <f t="shared" si="36"/>
      </c>
      <c r="AD27" s="505">
        <f t="shared" si="37"/>
      </c>
      <c r="AE27" s="504">
        <f t="shared" si="38"/>
        <v>0</v>
      </c>
      <c r="AF27" s="504">
        <f t="shared" si="39"/>
        <v>0</v>
      </c>
      <c r="AG27" s="504">
        <f t="shared" si="40"/>
        <v>0</v>
      </c>
      <c r="AH27" s="506">
        <f t="shared" si="41"/>
      </c>
      <c r="AI27" s="120"/>
      <c r="AJ27" s="504">
        <f t="shared" si="42"/>
        <v>0</v>
      </c>
      <c r="AK27" s="504">
        <f t="shared" si="43"/>
        <v>0</v>
      </c>
      <c r="AL27" s="504">
        <f t="shared" si="44"/>
      </c>
      <c r="AM27" s="504">
        <f t="shared" si="45"/>
        <v>0</v>
      </c>
      <c r="AN27" s="504">
        <f t="shared" si="46"/>
      </c>
      <c r="AO27" s="505">
        <f t="shared" si="47"/>
      </c>
      <c r="AP27" s="504">
        <f t="shared" si="48"/>
      </c>
      <c r="AQ27" s="505">
        <f t="shared" si="49"/>
      </c>
      <c r="AR27" s="504">
        <f t="shared" si="50"/>
        <v>0</v>
      </c>
      <c r="AS27" s="504">
        <f t="shared" si="51"/>
        <v>0</v>
      </c>
      <c r="AT27" s="504">
        <f t="shared" si="52"/>
        <v>0</v>
      </c>
      <c r="AU27" s="506">
        <f t="shared" si="53"/>
      </c>
      <c r="AV27" s="120"/>
      <c r="AW27" s="500" t="str">
        <f t="shared" si="54"/>
        <v> / </v>
      </c>
      <c r="AX27" s="120"/>
      <c r="AY27" s="120"/>
      <c r="AZ27" s="120"/>
      <c r="BA27" s="120"/>
    </row>
    <row r="28" spans="1:53" s="446" customFormat="1" ht="25.5" customHeight="1" hidden="1">
      <c r="A28" s="553"/>
      <c r="B28" s="555">
        <v>17</v>
      </c>
      <c r="C28" s="575"/>
      <c r="D28" s="576"/>
      <c r="E28" s="442"/>
      <c r="F28" s="443"/>
      <c r="G28" s="444"/>
      <c r="H28" s="442"/>
      <c r="I28" s="443"/>
      <c r="J28" s="575"/>
      <c r="K28" s="576"/>
      <c r="L28" s="442"/>
      <c r="M28" s="443"/>
      <c r="N28" s="444"/>
      <c r="O28" s="442"/>
      <c r="P28" s="561"/>
      <c r="Q28" s="571">
        <f t="shared" si="27"/>
        <v>0</v>
      </c>
      <c r="R28" s="572">
        <f t="shared" si="28"/>
        <v>0</v>
      </c>
      <c r="S28" s="527"/>
      <c r="T28" s="528"/>
      <c r="U28" s="529"/>
      <c r="V28" s="445">
        <f t="shared" si="29"/>
        <v>2</v>
      </c>
      <c r="W28" s="504">
        <f t="shared" si="30"/>
        <v>0</v>
      </c>
      <c r="X28" s="504">
        <f t="shared" si="31"/>
        <v>0</v>
      </c>
      <c r="Y28" s="504">
        <f t="shared" si="32"/>
      </c>
      <c r="Z28" s="504">
        <f t="shared" si="33"/>
        <v>0</v>
      </c>
      <c r="AA28" s="504">
        <f t="shared" si="34"/>
      </c>
      <c r="AB28" s="505">
        <f t="shared" si="35"/>
      </c>
      <c r="AC28" s="504">
        <f t="shared" si="36"/>
      </c>
      <c r="AD28" s="505">
        <f t="shared" si="37"/>
      </c>
      <c r="AE28" s="504">
        <f t="shared" si="38"/>
        <v>0</v>
      </c>
      <c r="AF28" s="504">
        <f t="shared" si="39"/>
        <v>0</v>
      </c>
      <c r="AG28" s="504">
        <f t="shared" si="40"/>
        <v>0</v>
      </c>
      <c r="AH28" s="506">
        <f t="shared" si="41"/>
      </c>
      <c r="AI28" s="120"/>
      <c r="AJ28" s="504">
        <f t="shared" si="42"/>
        <v>0</v>
      </c>
      <c r="AK28" s="504">
        <f t="shared" si="43"/>
        <v>0</v>
      </c>
      <c r="AL28" s="504">
        <f t="shared" si="44"/>
      </c>
      <c r="AM28" s="504">
        <f t="shared" si="45"/>
        <v>0</v>
      </c>
      <c r="AN28" s="504">
        <f t="shared" si="46"/>
      </c>
      <c r="AO28" s="505">
        <f t="shared" si="47"/>
      </c>
      <c r="AP28" s="504">
        <f t="shared" si="48"/>
      </c>
      <c r="AQ28" s="505">
        <f t="shared" si="49"/>
      </c>
      <c r="AR28" s="504">
        <f t="shared" si="50"/>
        <v>0</v>
      </c>
      <c r="AS28" s="504">
        <f t="shared" si="51"/>
        <v>0</v>
      </c>
      <c r="AT28" s="504">
        <f t="shared" si="52"/>
        <v>0</v>
      </c>
      <c r="AU28" s="506">
        <f t="shared" si="53"/>
      </c>
      <c r="AV28" s="120"/>
      <c r="AW28" s="500" t="str">
        <f t="shared" si="54"/>
        <v> / </v>
      </c>
      <c r="AX28" s="120"/>
      <c r="AY28" s="120"/>
      <c r="AZ28" s="120"/>
      <c r="BA28" s="120"/>
    </row>
    <row r="29" spans="1:53" s="446" customFormat="1" ht="25.5" customHeight="1" hidden="1">
      <c r="A29" s="553"/>
      <c r="B29" s="555">
        <v>18</v>
      </c>
      <c r="C29" s="575"/>
      <c r="D29" s="576"/>
      <c r="E29" s="442"/>
      <c r="F29" s="443"/>
      <c r="G29" s="444"/>
      <c r="H29" s="442"/>
      <c r="I29" s="443"/>
      <c r="J29" s="575"/>
      <c r="K29" s="576"/>
      <c r="L29" s="442"/>
      <c r="M29" s="443"/>
      <c r="N29" s="444"/>
      <c r="O29" s="442"/>
      <c r="P29" s="561"/>
      <c r="Q29" s="571">
        <f t="shared" si="27"/>
        <v>0</v>
      </c>
      <c r="R29" s="572">
        <f t="shared" si="28"/>
        <v>0</v>
      </c>
      <c r="S29" s="527"/>
      <c r="T29" s="528"/>
      <c r="U29" s="529"/>
      <c r="V29" s="445">
        <f t="shared" si="29"/>
        <v>2</v>
      </c>
      <c r="W29" s="504">
        <f t="shared" si="30"/>
        <v>0</v>
      </c>
      <c r="X29" s="504">
        <f t="shared" si="31"/>
        <v>0</v>
      </c>
      <c r="Y29" s="504">
        <f t="shared" si="32"/>
      </c>
      <c r="Z29" s="504">
        <f t="shared" si="33"/>
        <v>0</v>
      </c>
      <c r="AA29" s="504">
        <f t="shared" si="34"/>
      </c>
      <c r="AB29" s="505">
        <f t="shared" si="35"/>
      </c>
      <c r="AC29" s="504">
        <f t="shared" si="36"/>
      </c>
      <c r="AD29" s="505">
        <f t="shared" si="37"/>
      </c>
      <c r="AE29" s="504">
        <f t="shared" si="38"/>
        <v>0</v>
      </c>
      <c r="AF29" s="504">
        <f t="shared" si="39"/>
        <v>0</v>
      </c>
      <c r="AG29" s="504">
        <f t="shared" si="40"/>
        <v>0</v>
      </c>
      <c r="AH29" s="506">
        <f t="shared" si="41"/>
      </c>
      <c r="AI29" s="120"/>
      <c r="AJ29" s="504">
        <f t="shared" si="42"/>
        <v>0</v>
      </c>
      <c r="AK29" s="504">
        <f t="shared" si="43"/>
        <v>0</v>
      </c>
      <c r="AL29" s="504">
        <f t="shared" si="44"/>
      </c>
      <c r="AM29" s="504">
        <f t="shared" si="45"/>
        <v>0</v>
      </c>
      <c r="AN29" s="504">
        <f t="shared" si="46"/>
      </c>
      <c r="AO29" s="505">
        <f t="shared" si="47"/>
      </c>
      <c r="AP29" s="504">
        <f t="shared" si="48"/>
      </c>
      <c r="AQ29" s="505">
        <f t="shared" si="49"/>
      </c>
      <c r="AR29" s="504">
        <f t="shared" si="50"/>
        <v>0</v>
      </c>
      <c r="AS29" s="504">
        <f t="shared" si="51"/>
        <v>0</v>
      </c>
      <c r="AT29" s="504">
        <f t="shared" si="52"/>
        <v>0</v>
      </c>
      <c r="AU29" s="506">
        <f t="shared" si="53"/>
      </c>
      <c r="AV29" s="120"/>
      <c r="AW29" s="500" t="str">
        <f t="shared" si="54"/>
        <v> / </v>
      </c>
      <c r="AX29" s="120"/>
      <c r="AY29" s="120"/>
      <c r="AZ29" s="120"/>
      <c r="BA29" s="120"/>
    </row>
    <row r="30" spans="1:53" s="446" customFormat="1" ht="25.5" customHeight="1" hidden="1">
      <c r="A30" s="553"/>
      <c r="B30" s="555">
        <v>19</v>
      </c>
      <c r="C30" s="575"/>
      <c r="D30" s="576"/>
      <c r="E30" s="442"/>
      <c r="F30" s="443"/>
      <c r="G30" s="444"/>
      <c r="H30" s="442"/>
      <c r="I30" s="443"/>
      <c r="J30" s="575"/>
      <c r="K30" s="576"/>
      <c r="L30" s="442"/>
      <c r="M30" s="443"/>
      <c r="N30" s="444"/>
      <c r="O30" s="442"/>
      <c r="P30" s="561"/>
      <c r="Q30" s="571">
        <f t="shared" si="27"/>
        <v>0</v>
      </c>
      <c r="R30" s="572">
        <f t="shared" si="28"/>
        <v>0</v>
      </c>
      <c r="S30" s="527"/>
      <c r="T30" s="528"/>
      <c r="U30" s="529"/>
      <c r="V30" s="445">
        <f t="shared" si="29"/>
        <v>2</v>
      </c>
      <c r="W30" s="504">
        <f t="shared" si="30"/>
        <v>0</v>
      </c>
      <c r="X30" s="504">
        <f t="shared" si="31"/>
        <v>0</v>
      </c>
      <c r="Y30" s="504">
        <f t="shared" si="32"/>
      </c>
      <c r="Z30" s="504">
        <f t="shared" si="33"/>
        <v>0</v>
      </c>
      <c r="AA30" s="504">
        <f t="shared" si="34"/>
      </c>
      <c r="AB30" s="505">
        <f t="shared" si="35"/>
      </c>
      <c r="AC30" s="504">
        <f t="shared" si="36"/>
      </c>
      <c r="AD30" s="505">
        <f t="shared" si="37"/>
      </c>
      <c r="AE30" s="504">
        <f t="shared" si="38"/>
        <v>0</v>
      </c>
      <c r="AF30" s="504">
        <f t="shared" si="39"/>
        <v>0</v>
      </c>
      <c r="AG30" s="504">
        <f t="shared" si="40"/>
        <v>0</v>
      </c>
      <c r="AH30" s="506">
        <f t="shared" si="41"/>
      </c>
      <c r="AI30" s="120"/>
      <c r="AJ30" s="504">
        <f t="shared" si="42"/>
        <v>0</v>
      </c>
      <c r="AK30" s="504">
        <f t="shared" si="43"/>
        <v>0</v>
      </c>
      <c r="AL30" s="504">
        <f t="shared" si="44"/>
      </c>
      <c r="AM30" s="504">
        <f t="shared" si="45"/>
        <v>0</v>
      </c>
      <c r="AN30" s="504">
        <f t="shared" si="46"/>
      </c>
      <c r="AO30" s="505">
        <f t="shared" si="47"/>
      </c>
      <c r="AP30" s="504">
        <f t="shared" si="48"/>
      </c>
      <c r="AQ30" s="505">
        <f t="shared" si="49"/>
      </c>
      <c r="AR30" s="504">
        <f t="shared" si="50"/>
        <v>0</v>
      </c>
      <c r="AS30" s="504">
        <f t="shared" si="51"/>
        <v>0</v>
      </c>
      <c r="AT30" s="504">
        <f t="shared" si="52"/>
        <v>0</v>
      </c>
      <c r="AU30" s="506">
        <f t="shared" si="53"/>
      </c>
      <c r="AV30" s="120"/>
      <c r="AW30" s="500" t="str">
        <f t="shared" si="54"/>
        <v> / </v>
      </c>
      <c r="AX30" s="120"/>
      <c r="AY30" s="120"/>
      <c r="AZ30" s="120"/>
      <c r="BA30" s="120"/>
    </row>
    <row r="31" spans="1:53" s="446" customFormat="1" ht="25.5" customHeight="1" hidden="1">
      <c r="A31" s="553"/>
      <c r="B31" s="555">
        <v>20</v>
      </c>
      <c r="C31" s="575"/>
      <c r="D31" s="576"/>
      <c r="E31" s="442"/>
      <c r="F31" s="443"/>
      <c r="G31" s="444"/>
      <c r="H31" s="442"/>
      <c r="I31" s="443"/>
      <c r="J31" s="575"/>
      <c r="K31" s="576"/>
      <c r="L31" s="442"/>
      <c r="M31" s="443"/>
      <c r="N31" s="444"/>
      <c r="O31" s="442"/>
      <c r="P31" s="561"/>
      <c r="Q31" s="571">
        <f t="shared" si="27"/>
        <v>0</v>
      </c>
      <c r="R31" s="572">
        <f t="shared" si="28"/>
        <v>0</v>
      </c>
      <c r="S31" s="527"/>
      <c r="T31" s="528"/>
      <c r="U31" s="529"/>
      <c r="V31" s="445">
        <f t="shared" si="29"/>
        <v>2</v>
      </c>
      <c r="W31" s="504">
        <f t="shared" si="30"/>
        <v>0</v>
      </c>
      <c r="X31" s="504">
        <f t="shared" si="31"/>
        <v>0</v>
      </c>
      <c r="Y31" s="504">
        <f t="shared" si="32"/>
      </c>
      <c r="Z31" s="504">
        <f t="shared" si="33"/>
        <v>0</v>
      </c>
      <c r="AA31" s="504">
        <f t="shared" si="34"/>
      </c>
      <c r="AB31" s="505">
        <f t="shared" si="35"/>
      </c>
      <c r="AC31" s="504">
        <f t="shared" si="36"/>
      </c>
      <c r="AD31" s="505">
        <f t="shared" si="37"/>
      </c>
      <c r="AE31" s="504">
        <f t="shared" si="38"/>
        <v>0</v>
      </c>
      <c r="AF31" s="504">
        <f t="shared" si="39"/>
        <v>0</v>
      </c>
      <c r="AG31" s="504">
        <f t="shared" si="40"/>
        <v>0</v>
      </c>
      <c r="AH31" s="506">
        <f t="shared" si="41"/>
      </c>
      <c r="AI31" s="120"/>
      <c r="AJ31" s="504">
        <f t="shared" si="42"/>
        <v>0</v>
      </c>
      <c r="AK31" s="504">
        <f t="shared" si="43"/>
        <v>0</v>
      </c>
      <c r="AL31" s="504">
        <f t="shared" si="44"/>
      </c>
      <c r="AM31" s="504">
        <f t="shared" si="45"/>
        <v>0</v>
      </c>
      <c r="AN31" s="504">
        <f t="shared" si="46"/>
      </c>
      <c r="AO31" s="505">
        <f t="shared" si="47"/>
      </c>
      <c r="AP31" s="504">
        <f t="shared" si="48"/>
      </c>
      <c r="AQ31" s="505">
        <f t="shared" si="49"/>
      </c>
      <c r="AR31" s="504">
        <f t="shared" si="50"/>
        <v>0</v>
      </c>
      <c r="AS31" s="504">
        <f t="shared" si="51"/>
        <v>0</v>
      </c>
      <c r="AT31" s="504">
        <f t="shared" si="52"/>
        <v>0</v>
      </c>
      <c r="AU31" s="506">
        <f t="shared" si="53"/>
      </c>
      <c r="AV31" s="120"/>
      <c r="AW31" s="500" t="str">
        <f t="shared" si="54"/>
        <v> / </v>
      </c>
      <c r="AX31" s="120"/>
      <c r="AY31" s="120"/>
      <c r="AZ31" s="120"/>
      <c r="BA31" s="120"/>
    </row>
    <row r="32" spans="1:53" s="446" customFormat="1" ht="25.5" customHeight="1" hidden="1">
      <c r="A32" s="553"/>
      <c r="B32" s="555">
        <v>21</v>
      </c>
      <c r="C32" s="575"/>
      <c r="D32" s="576"/>
      <c r="E32" s="442"/>
      <c r="F32" s="443"/>
      <c r="G32" s="444"/>
      <c r="H32" s="442"/>
      <c r="I32" s="443"/>
      <c r="J32" s="575"/>
      <c r="K32" s="576"/>
      <c r="L32" s="442"/>
      <c r="M32" s="443"/>
      <c r="N32" s="444"/>
      <c r="O32" s="442"/>
      <c r="P32" s="561"/>
      <c r="Q32" s="571">
        <f t="shared" si="27"/>
        <v>0</v>
      </c>
      <c r="R32" s="572">
        <f t="shared" si="28"/>
        <v>0</v>
      </c>
      <c r="S32" s="527"/>
      <c r="T32" s="528"/>
      <c r="U32" s="529"/>
      <c r="V32" s="445">
        <f t="shared" si="29"/>
        <v>2</v>
      </c>
      <c r="W32" s="504">
        <f t="shared" si="30"/>
        <v>0</v>
      </c>
      <c r="X32" s="504">
        <f t="shared" si="31"/>
        <v>0</v>
      </c>
      <c r="Y32" s="504">
        <f t="shared" si="32"/>
      </c>
      <c r="Z32" s="504">
        <f t="shared" si="33"/>
        <v>0</v>
      </c>
      <c r="AA32" s="504">
        <f t="shared" si="34"/>
      </c>
      <c r="AB32" s="505">
        <f t="shared" si="35"/>
      </c>
      <c r="AC32" s="504">
        <f t="shared" si="36"/>
      </c>
      <c r="AD32" s="505">
        <f t="shared" si="37"/>
      </c>
      <c r="AE32" s="504">
        <f t="shared" si="38"/>
        <v>0</v>
      </c>
      <c r="AF32" s="504">
        <f t="shared" si="39"/>
        <v>0</v>
      </c>
      <c r="AG32" s="504">
        <f t="shared" si="40"/>
        <v>0</v>
      </c>
      <c r="AH32" s="506">
        <f t="shared" si="41"/>
      </c>
      <c r="AI32" s="120"/>
      <c r="AJ32" s="504">
        <f t="shared" si="42"/>
        <v>0</v>
      </c>
      <c r="AK32" s="504">
        <f t="shared" si="43"/>
        <v>0</v>
      </c>
      <c r="AL32" s="504">
        <f t="shared" si="44"/>
      </c>
      <c r="AM32" s="504">
        <f t="shared" si="45"/>
        <v>0</v>
      </c>
      <c r="AN32" s="504">
        <f t="shared" si="46"/>
      </c>
      <c r="AO32" s="505">
        <f t="shared" si="47"/>
      </c>
      <c r="AP32" s="504">
        <f t="shared" si="48"/>
      </c>
      <c r="AQ32" s="505">
        <f t="shared" si="49"/>
      </c>
      <c r="AR32" s="504">
        <f t="shared" si="50"/>
        <v>0</v>
      </c>
      <c r="AS32" s="504">
        <f t="shared" si="51"/>
        <v>0</v>
      </c>
      <c r="AT32" s="504">
        <f t="shared" si="52"/>
        <v>0</v>
      </c>
      <c r="AU32" s="506">
        <f t="shared" si="53"/>
      </c>
      <c r="AV32" s="120"/>
      <c r="AW32" s="500" t="str">
        <f t="shared" si="54"/>
        <v> / </v>
      </c>
      <c r="AX32" s="120"/>
      <c r="AY32" s="120"/>
      <c r="AZ32" s="120"/>
      <c r="BA32" s="120"/>
    </row>
    <row r="33" spans="1:53" s="446" customFormat="1" ht="25.5" customHeight="1" hidden="1">
      <c r="A33" s="553"/>
      <c r="B33" s="555">
        <v>22</v>
      </c>
      <c r="C33" s="575"/>
      <c r="D33" s="576"/>
      <c r="E33" s="442"/>
      <c r="F33" s="443"/>
      <c r="G33" s="444"/>
      <c r="H33" s="442"/>
      <c r="I33" s="443"/>
      <c r="J33" s="575"/>
      <c r="K33" s="576"/>
      <c r="L33" s="442"/>
      <c r="M33" s="443"/>
      <c r="N33" s="444"/>
      <c r="O33" s="442"/>
      <c r="P33" s="561"/>
      <c r="Q33" s="571">
        <f t="shared" si="27"/>
        <v>0</v>
      </c>
      <c r="R33" s="572">
        <f t="shared" si="28"/>
        <v>0</v>
      </c>
      <c r="S33" s="527"/>
      <c r="T33" s="528"/>
      <c r="U33" s="529"/>
      <c r="V33" s="445">
        <f t="shared" si="29"/>
        <v>2</v>
      </c>
      <c r="W33" s="504">
        <f t="shared" si="30"/>
        <v>0</v>
      </c>
      <c r="X33" s="504">
        <f t="shared" si="31"/>
        <v>0</v>
      </c>
      <c r="Y33" s="504">
        <f t="shared" si="32"/>
      </c>
      <c r="Z33" s="504">
        <f t="shared" si="33"/>
        <v>0</v>
      </c>
      <c r="AA33" s="504">
        <f t="shared" si="34"/>
      </c>
      <c r="AB33" s="505">
        <f t="shared" si="35"/>
      </c>
      <c r="AC33" s="504">
        <f t="shared" si="36"/>
      </c>
      <c r="AD33" s="505">
        <f t="shared" si="37"/>
      </c>
      <c r="AE33" s="504">
        <f t="shared" si="38"/>
        <v>0</v>
      </c>
      <c r="AF33" s="504">
        <f t="shared" si="39"/>
        <v>0</v>
      </c>
      <c r="AG33" s="504">
        <f t="shared" si="40"/>
        <v>0</v>
      </c>
      <c r="AH33" s="506">
        <f t="shared" si="41"/>
      </c>
      <c r="AI33" s="120"/>
      <c r="AJ33" s="504">
        <f t="shared" si="42"/>
        <v>0</v>
      </c>
      <c r="AK33" s="504">
        <f t="shared" si="43"/>
        <v>0</v>
      </c>
      <c r="AL33" s="504">
        <f t="shared" si="44"/>
      </c>
      <c r="AM33" s="504">
        <f t="shared" si="45"/>
        <v>0</v>
      </c>
      <c r="AN33" s="504">
        <f t="shared" si="46"/>
      </c>
      <c r="AO33" s="505">
        <f t="shared" si="47"/>
      </c>
      <c r="AP33" s="504">
        <f t="shared" si="48"/>
      </c>
      <c r="AQ33" s="505">
        <f t="shared" si="49"/>
      </c>
      <c r="AR33" s="504">
        <f t="shared" si="50"/>
        <v>0</v>
      </c>
      <c r="AS33" s="504">
        <f t="shared" si="51"/>
        <v>0</v>
      </c>
      <c r="AT33" s="504">
        <f t="shared" si="52"/>
        <v>0</v>
      </c>
      <c r="AU33" s="506">
        <f t="shared" si="53"/>
      </c>
      <c r="AV33" s="120"/>
      <c r="AW33" s="500" t="str">
        <f t="shared" si="54"/>
        <v> / </v>
      </c>
      <c r="AX33" s="120"/>
      <c r="AY33" s="120"/>
      <c r="AZ33" s="120"/>
      <c r="BA33" s="120"/>
    </row>
    <row r="34" spans="1:53" s="446" customFormat="1" ht="25.5" customHeight="1" hidden="1">
      <c r="A34" s="553"/>
      <c r="B34" s="555">
        <v>23</v>
      </c>
      <c r="C34" s="575"/>
      <c r="D34" s="576"/>
      <c r="E34" s="442"/>
      <c r="F34" s="443"/>
      <c r="G34" s="444"/>
      <c r="H34" s="442"/>
      <c r="I34" s="443"/>
      <c r="J34" s="575"/>
      <c r="K34" s="576"/>
      <c r="L34" s="442"/>
      <c r="M34" s="443"/>
      <c r="N34" s="444"/>
      <c r="O34" s="442"/>
      <c r="P34" s="561"/>
      <c r="Q34" s="571">
        <f t="shared" si="27"/>
        <v>0</v>
      </c>
      <c r="R34" s="572">
        <f t="shared" si="28"/>
        <v>0</v>
      </c>
      <c r="S34" s="527"/>
      <c r="T34" s="528"/>
      <c r="U34" s="529"/>
      <c r="V34" s="445">
        <f t="shared" si="29"/>
        <v>2</v>
      </c>
      <c r="W34" s="504">
        <f t="shared" si="30"/>
        <v>0</v>
      </c>
      <c r="X34" s="504">
        <f t="shared" si="31"/>
        <v>0</v>
      </c>
      <c r="Y34" s="504">
        <f t="shared" si="32"/>
      </c>
      <c r="Z34" s="504">
        <f t="shared" si="33"/>
        <v>0</v>
      </c>
      <c r="AA34" s="504">
        <f t="shared" si="34"/>
      </c>
      <c r="AB34" s="505">
        <f t="shared" si="35"/>
      </c>
      <c r="AC34" s="504">
        <f t="shared" si="36"/>
      </c>
      <c r="AD34" s="505">
        <f t="shared" si="37"/>
      </c>
      <c r="AE34" s="504">
        <f t="shared" si="38"/>
        <v>0</v>
      </c>
      <c r="AF34" s="504">
        <f t="shared" si="39"/>
        <v>0</v>
      </c>
      <c r="AG34" s="504">
        <f t="shared" si="40"/>
        <v>0</v>
      </c>
      <c r="AH34" s="506">
        <f t="shared" si="41"/>
      </c>
      <c r="AI34" s="120"/>
      <c r="AJ34" s="504">
        <f t="shared" si="42"/>
        <v>0</v>
      </c>
      <c r="AK34" s="504">
        <f t="shared" si="43"/>
        <v>0</v>
      </c>
      <c r="AL34" s="504">
        <f t="shared" si="44"/>
      </c>
      <c r="AM34" s="504">
        <f t="shared" si="45"/>
        <v>0</v>
      </c>
      <c r="AN34" s="504">
        <f t="shared" si="46"/>
      </c>
      <c r="AO34" s="505">
        <f t="shared" si="47"/>
      </c>
      <c r="AP34" s="504">
        <f t="shared" si="48"/>
      </c>
      <c r="AQ34" s="505">
        <f t="shared" si="49"/>
      </c>
      <c r="AR34" s="504">
        <f t="shared" si="50"/>
        <v>0</v>
      </c>
      <c r="AS34" s="504">
        <f t="shared" si="51"/>
        <v>0</v>
      </c>
      <c r="AT34" s="504">
        <f t="shared" si="52"/>
        <v>0</v>
      </c>
      <c r="AU34" s="506">
        <f t="shared" si="53"/>
      </c>
      <c r="AV34" s="120"/>
      <c r="AW34" s="500" t="str">
        <f t="shared" si="54"/>
        <v> / </v>
      </c>
      <c r="AX34" s="120"/>
      <c r="AY34" s="120"/>
      <c r="AZ34" s="120"/>
      <c r="BA34" s="120"/>
    </row>
    <row r="35" spans="1:53" s="446" customFormat="1" ht="25.5" customHeight="1" hidden="1">
      <c r="A35" s="553"/>
      <c r="B35" s="555">
        <v>24</v>
      </c>
      <c r="C35" s="575"/>
      <c r="D35" s="576"/>
      <c r="E35" s="442"/>
      <c r="F35" s="443"/>
      <c r="G35" s="444"/>
      <c r="H35" s="442"/>
      <c r="I35" s="443"/>
      <c r="J35" s="575"/>
      <c r="K35" s="576"/>
      <c r="L35" s="442"/>
      <c r="M35" s="443"/>
      <c r="N35" s="444"/>
      <c r="O35" s="442"/>
      <c r="P35" s="561"/>
      <c r="Q35" s="571">
        <f t="shared" si="27"/>
        <v>0</v>
      </c>
      <c r="R35" s="572">
        <f t="shared" si="28"/>
        <v>0</v>
      </c>
      <c r="S35" s="527"/>
      <c r="T35" s="528"/>
      <c r="U35" s="529"/>
      <c r="V35" s="445">
        <f t="shared" si="29"/>
        <v>2</v>
      </c>
      <c r="W35" s="504">
        <f t="shared" si="30"/>
        <v>0</v>
      </c>
      <c r="X35" s="504">
        <f t="shared" si="31"/>
        <v>0</v>
      </c>
      <c r="Y35" s="504">
        <f t="shared" si="32"/>
      </c>
      <c r="Z35" s="504">
        <f t="shared" si="33"/>
        <v>0</v>
      </c>
      <c r="AA35" s="504">
        <f t="shared" si="34"/>
      </c>
      <c r="AB35" s="505">
        <f t="shared" si="35"/>
      </c>
      <c r="AC35" s="504">
        <f t="shared" si="36"/>
      </c>
      <c r="AD35" s="505">
        <f t="shared" si="37"/>
      </c>
      <c r="AE35" s="504">
        <f t="shared" si="38"/>
        <v>0</v>
      </c>
      <c r="AF35" s="504">
        <f t="shared" si="39"/>
        <v>0</v>
      </c>
      <c r="AG35" s="504">
        <f t="shared" si="40"/>
        <v>0</v>
      </c>
      <c r="AH35" s="506">
        <f t="shared" si="41"/>
      </c>
      <c r="AI35" s="120"/>
      <c r="AJ35" s="504">
        <f t="shared" si="42"/>
        <v>0</v>
      </c>
      <c r="AK35" s="504">
        <f t="shared" si="43"/>
        <v>0</v>
      </c>
      <c r="AL35" s="504">
        <f t="shared" si="44"/>
      </c>
      <c r="AM35" s="504">
        <f t="shared" si="45"/>
        <v>0</v>
      </c>
      <c r="AN35" s="504">
        <f t="shared" si="46"/>
      </c>
      <c r="AO35" s="505">
        <f t="shared" si="47"/>
      </c>
      <c r="AP35" s="504">
        <f t="shared" si="48"/>
      </c>
      <c r="AQ35" s="505">
        <f t="shared" si="49"/>
      </c>
      <c r="AR35" s="504">
        <f t="shared" si="50"/>
        <v>0</v>
      </c>
      <c r="AS35" s="504">
        <f t="shared" si="51"/>
        <v>0</v>
      </c>
      <c r="AT35" s="504">
        <f t="shared" si="52"/>
        <v>0</v>
      </c>
      <c r="AU35" s="506">
        <f t="shared" si="53"/>
      </c>
      <c r="AV35" s="120"/>
      <c r="AW35" s="500" t="str">
        <f t="shared" si="54"/>
        <v> / </v>
      </c>
      <c r="AX35" s="120"/>
      <c r="AY35" s="120"/>
      <c r="AZ35" s="120"/>
      <c r="BA35" s="120"/>
    </row>
    <row r="36" spans="1:53" s="446" customFormat="1" ht="25.5" customHeight="1" hidden="1">
      <c r="A36" s="553"/>
      <c r="B36" s="555">
        <v>25</v>
      </c>
      <c r="C36" s="575"/>
      <c r="D36" s="576"/>
      <c r="E36" s="442"/>
      <c r="F36" s="443"/>
      <c r="G36" s="444"/>
      <c r="H36" s="442"/>
      <c r="I36" s="443"/>
      <c r="J36" s="575"/>
      <c r="K36" s="576"/>
      <c r="L36" s="442"/>
      <c r="M36" s="443"/>
      <c r="N36" s="444"/>
      <c r="O36" s="442"/>
      <c r="P36" s="561"/>
      <c r="Q36" s="571">
        <f t="shared" si="27"/>
        <v>0</v>
      </c>
      <c r="R36" s="572">
        <f t="shared" si="28"/>
        <v>0</v>
      </c>
      <c r="S36" s="527"/>
      <c r="T36" s="528"/>
      <c r="U36" s="529"/>
      <c r="V36" s="445">
        <f t="shared" si="29"/>
        <v>2</v>
      </c>
      <c r="W36" s="504">
        <f t="shared" si="30"/>
        <v>0</v>
      </c>
      <c r="X36" s="504">
        <f t="shared" si="31"/>
        <v>0</v>
      </c>
      <c r="Y36" s="504">
        <f t="shared" si="32"/>
      </c>
      <c r="Z36" s="504">
        <f t="shared" si="33"/>
        <v>0</v>
      </c>
      <c r="AA36" s="504">
        <f t="shared" si="34"/>
      </c>
      <c r="AB36" s="505">
        <f t="shared" si="35"/>
      </c>
      <c r="AC36" s="504">
        <f t="shared" si="36"/>
      </c>
      <c r="AD36" s="505">
        <f t="shared" si="37"/>
      </c>
      <c r="AE36" s="504">
        <f t="shared" si="38"/>
        <v>0</v>
      </c>
      <c r="AF36" s="504">
        <f t="shared" si="39"/>
        <v>0</v>
      </c>
      <c r="AG36" s="504">
        <f t="shared" si="40"/>
        <v>0</v>
      </c>
      <c r="AH36" s="506">
        <f t="shared" si="41"/>
      </c>
      <c r="AI36" s="120"/>
      <c r="AJ36" s="504">
        <f t="shared" si="42"/>
        <v>0</v>
      </c>
      <c r="AK36" s="504">
        <f t="shared" si="43"/>
        <v>0</v>
      </c>
      <c r="AL36" s="504">
        <f t="shared" si="44"/>
      </c>
      <c r="AM36" s="504">
        <f t="shared" si="45"/>
        <v>0</v>
      </c>
      <c r="AN36" s="504">
        <f t="shared" si="46"/>
      </c>
      <c r="AO36" s="505">
        <f t="shared" si="47"/>
      </c>
      <c r="AP36" s="504">
        <f t="shared" si="48"/>
      </c>
      <c r="AQ36" s="505">
        <f t="shared" si="49"/>
      </c>
      <c r="AR36" s="504">
        <f t="shared" si="50"/>
        <v>0</v>
      </c>
      <c r="AS36" s="504">
        <f t="shared" si="51"/>
        <v>0</v>
      </c>
      <c r="AT36" s="504">
        <f t="shared" si="52"/>
        <v>0</v>
      </c>
      <c r="AU36" s="506">
        <f t="shared" si="53"/>
      </c>
      <c r="AV36" s="120"/>
      <c r="AW36" s="500" t="str">
        <f t="shared" si="54"/>
        <v> / </v>
      </c>
      <c r="AX36" s="120"/>
      <c r="AY36" s="120"/>
      <c r="AZ36" s="120"/>
      <c r="BA36" s="120"/>
    </row>
    <row r="37" spans="1:53" s="446" customFormat="1" ht="25.5" customHeight="1" hidden="1">
      <c r="A37" s="553"/>
      <c r="B37" s="555">
        <v>26</v>
      </c>
      <c r="C37" s="575"/>
      <c r="D37" s="576"/>
      <c r="E37" s="442"/>
      <c r="F37" s="443"/>
      <c r="G37" s="444"/>
      <c r="H37" s="442"/>
      <c r="I37" s="443"/>
      <c r="J37" s="575"/>
      <c r="K37" s="576"/>
      <c r="L37" s="442"/>
      <c r="M37" s="443"/>
      <c r="N37" s="444"/>
      <c r="O37" s="442"/>
      <c r="P37" s="561"/>
      <c r="Q37" s="571">
        <f t="shared" si="27"/>
        <v>0</v>
      </c>
      <c r="R37" s="572">
        <f t="shared" si="28"/>
        <v>0</v>
      </c>
      <c r="S37" s="527"/>
      <c r="T37" s="528"/>
      <c r="U37" s="529"/>
      <c r="V37" s="445">
        <f t="shared" si="29"/>
        <v>2</v>
      </c>
      <c r="W37" s="504">
        <f t="shared" si="30"/>
        <v>0</v>
      </c>
      <c r="X37" s="504">
        <f t="shared" si="31"/>
        <v>0</v>
      </c>
      <c r="Y37" s="504">
        <f t="shared" si="32"/>
      </c>
      <c r="Z37" s="504">
        <f t="shared" si="33"/>
        <v>0</v>
      </c>
      <c r="AA37" s="504">
        <f t="shared" si="34"/>
      </c>
      <c r="AB37" s="505">
        <f t="shared" si="35"/>
      </c>
      <c r="AC37" s="504">
        <f t="shared" si="36"/>
      </c>
      <c r="AD37" s="505">
        <f t="shared" si="37"/>
      </c>
      <c r="AE37" s="504">
        <f t="shared" si="38"/>
        <v>0</v>
      </c>
      <c r="AF37" s="504">
        <f t="shared" si="39"/>
        <v>0</v>
      </c>
      <c r="AG37" s="504">
        <f t="shared" si="40"/>
        <v>0</v>
      </c>
      <c r="AH37" s="506">
        <f t="shared" si="41"/>
      </c>
      <c r="AI37" s="120"/>
      <c r="AJ37" s="504">
        <f t="shared" si="42"/>
        <v>0</v>
      </c>
      <c r="AK37" s="504">
        <f t="shared" si="43"/>
        <v>0</v>
      </c>
      <c r="AL37" s="504">
        <f t="shared" si="44"/>
      </c>
      <c r="AM37" s="504">
        <f t="shared" si="45"/>
        <v>0</v>
      </c>
      <c r="AN37" s="504">
        <f t="shared" si="46"/>
      </c>
      <c r="AO37" s="505">
        <f t="shared" si="47"/>
      </c>
      <c r="AP37" s="504">
        <f t="shared" si="48"/>
      </c>
      <c r="AQ37" s="505">
        <f t="shared" si="49"/>
      </c>
      <c r="AR37" s="504">
        <f t="shared" si="50"/>
        <v>0</v>
      </c>
      <c r="AS37" s="504">
        <f t="shared" si="51"/>
        <v>0</v>
      </c>
      <c r="AT37" s="504">
        <f t="shared" si="52"/>
        <v>0</v>
      </c>
      <c r="AU37" s="506">
        <f t="shared" si="53"/>
      </c>
      <c r="AV37" s="120"/>
      <c r="AW37" s="500" t="str">
        <f t="shared" si="54"/>
        <v> / </v>
      </c>
      <c r="AX37" s="120"/>
      <c r="AY37" s="120"/>
      <c r="AZ37" s="120"/>
      <c r="BA37" s="120"/>
    </row>
    <row r="38" spans="1:53" s="446" customFormat="1" ht="25.5" customHeight="1">
      <c r="A38" s="562" t="s">
        <v>139</v>
      </c>
      <c r="B38" s="555">
        <f>Установка!D52+1</f>
        <v>8</v>
      </c>
      <c r="C38" s="575"/>
      <c r="D38" s="576"/>
      <c r="E38" s="442"/>
      <c r="F38" s="443"/>
      <c r="G38" s="444"/>
      <c r="H38" s="442"/>
      <c r="I38" s="443"/>
      <c r="J38" s="575"/>
      <c r="K38" s="576"/>
      <c r="L38" s="442"/>
      <c r="M38" s="443"/>
      <c r="N38" s="444"/>
      <c r="O38" s="442"/>
      <c r="P38" s="561"/>
      <c r="Q38" s="571">
        <f t="shared" si="27"/>
        <v>0</v>
      </c>
      <c r="R38" s="572">
        <f t="shared" si="28"/>
        <v>0</v>
      </c>
      <c r="S38" s="527"/>
      <c r="T38" s="528"/>
      <c r="U38" s="529" t="s">
        <v>210</v>
      </c>
      <c r="V38" s="445">
        <f aca="true" t="shared" si="55" ref="V38:V43">IF(ISBLANK(E38),2,IF(ISBLANK(S38),0,1))</f>
        <v>2</v>
      </c>
      <c r="W38" s="504">
        <f t="shared" si="30"/>
        <v>0</v>
      </c>
      <c r="X38" s="504">
        <f t="shared" si="31"/>
        <v>0</v>
      </c>
      <c r="Y38" s="504">
        <f t="shared" si="32"/>
      </c>
      <c r="Z38" s="504">
        <f t="shared" si="33"/>
        <v>0</v>
      </c>
      <c r="AA38" s="504">
        <f t="shared" si="34"/>
      </c>
      <c r="AB38" s="505">
        <f t="shared" si="35"/>
      </c>
      <c r="AC38" s="504">
        <f t="shared" si="36"/>
      </c>
      <c r="AD38" s="505">
        <f t="shared" si="37"/>
      </c>
      <c r="AE38" s="504">
        <f t="shared" si="38"/>
        <v>0</v>
      </c>
      <c r="AF38" s="504">
        <f t="shared" si="39"/>
        <v>0</v>
      </c>
      <c r="AG38" s="504">
        <f t="shared" si="40"/>
        <v>0</v>
      </c>
      <c r="AH38" s="506">
        <f t="shared" si="41"/>
      </c>
      <c r="AI38" s="120"/>
      <c r="AJ38" s="504">
        <f t="shared" si="42"/>
        <v>0</v>
      </c>
      <c r="AK38" s="504">
        <f t="shared" si="43"/>
        <v>0</v>
      </c>
      <c r="AL38" s="504">
        <f t="shared" si="44"/>
      </c>
      <c r="AM38" s="504">
        <f t="shared" si="45"/>
        <v>0</v>
      </c>
      <c r="AN38" s="504">
        <f t="shared" si="46"/>
      </c>
      <c r="AO38" s="505">
        <f t="shared" si="47"/>
      </c>
      <c r="AP38" s="504">
        <f t="shared" si="48"/>
      </c>
      <c r="AQ38" s="505">
        <f t="shared" si="49"/>
      </c>
      <c r="AR38" s="504">
        <f t="shared" si="50"/>
        <v>0</v>
      </c>
      <c r="AS38" s="504">
        <f t="shared" si="51"/>
        <v>0</v>
      </c>
      <c r="AT38" s="504">
        <f t="shared" si="52"/>
        <v>0</v>
      </c>
      <c r="AU38" s="506">
        <f t="shared" si="53"/>
      </c>
      <c r="AV38" s="120"/>
      <c r="AW38" s="500" t="str">
        <f t="shared" si="54"/>
        <v> / </v>
      </c>
      <c r="AX38" s="120"/>
      <c r="AY38" s="120"/>
      <c r="AZ38" s="120"/>
      <c r="BA38" s="120"/>
    </row>
    <row r="39" spans="1:53" s="446" customFormat="1" ht="25.5" customHeight="1" hidden="1">
      <c r="A39" s="562" t="s">
        <v>140</v>
      </c>
      <c r="B39" s="555">
        <f>Установка!D52+2</f>
        <v>9</v>
      </c>
      <c r="C39" s="575"/>
      <c r="D39" s="576"/>
      <c r="E39" s="442"/>
      <c r="F39" s="443"/>
      <c r="G39" s="444"/>
      <c r="H39" s="442"/>
      <c r="I39" s="443"/>
      <c r="J39" s="575"/>
      <c r="K39" s="576"/>
      <c r="L39" s="442"/>
      <c r="M39" s="443"/>
      <c r="N39" s="444"/>
      <c r="O39" s="442"/>
      <c r="P39" s="561"/>
      <c r="Q39" s="571">
        <f t="shared" si="27"/>
        <v>0</v>
      </c>
      <c r="R39" s="572">
        <f t="shared" si="28"/>
        <v>0</v>
      </c>
      <c r="S39" s="527"/>
      <c r="T39" s="528"/>
      <c r="U39" s="529"/>
      <c r="V39" s="445">
        <f t="shared" si="55"/>
        <v>2</v>
      </c>
      <c r="W39" s="504">
        <f t="shared" si="30"/>
        <v>0</v>
      </c>
      <c r="X39" s="504">
        <f t="shared" si="31"/>
        <v>0</v>
      </c>
      <c r="Y39" s="504">
        <f t="shared" si="32"/>
      </c>
      <c r="Z39" s="504">
        <f t="shared" si="33"/>
        <v>0</v>
      </c>
      <c r="AA39" s="504">
        <f t="shared" si="34"/>
      </c>
      <c r="AB39" s="505">
        <f t="shared" si="35"/>
      </c>
      <c r="AC39" s="504">
        <f t="shared" si="36"/>
      </c>
      <c r="AD39" s="505">
        <f t="shared" si="37"/>
      </c>
      <c r="AE39" s="504">
        <f t="shared" si="38"/>
        <v>0</v>
      </c>
      <c r="AF39" s="504">
        <f t="shared" si="39"/>
        <v>0</v>
      </c>
      <c r="AG39" s="504">
        <f t="shared" si="40"/>
        <v>0</v>
      </c>
      <c r="AH39" s="506">
        <f t="shared" si="41"/>
      </c>
      <c r="AI39" s="120"/>
      <c r="AJ39" s="504">
        <f t="shared" si="42"/>
        <v>0</v>
      </c>
      <c r="AK39" s="504">
        <f t="shared" si="43"/>
        <v>0</v>
      </c>
      <c r="AL39" s="504">
        <f t="shared" si="44"/>
      </c>
      <c r="AM39" s="504">
        <f t="shared" si="45"/>
        <v>0</v>
      </c>
      <c r="AN39" s="504">
        <f t="shared" si="46"/>
      </c>
      <c r="AO39" s="505">
        <f t="shared" si="47"/>
      </c>
      <c r="AP39" s="504">
        <f t="shared" si="48"/>
      </c>
      <c r="AQ39" s="505">
        <f t="shared" si="49"/>
      </c>
      <c r="AR39" s="504">
        <f t="shared" si="50"/>
        <v>0</v>
      </c>
      <c r="AS39" s="504">
        <f t="shared" si="51"/>
        <v>0</v>
      </c>
      <c r="AT39" s="504">
        <f t="shared" si="52"/>
        <v>0</v>
      </c>
      <c r="AU39" s="506">
        <f t="shared" si="53"/>
      </c>
      <c r="AV39" s="120"/>
      <c r="AW39" s="500" t="str">
        <f t="shared" si="54"/>
        <v> / </v>
      </c>
      <c r="AX39" s="120"/>
      <c r="AY39" s="120"/>
      <c r="AZ39" s="120"/>
      <c r="BA39" s="120"/>
    </row>
    <row r="40" spans="1:53" s="446" customFormat="1" ht="25.5" customHeight="1" hidden="1">
      <c r="A40" s="562" t="s">
        <v>141</v>
      </c>
      <c r="B40" s="555">
        <f>Установка!D52+3</f>
        <v>10</v>
      </c>
      <c r="C40" s="575"/>
      <c r="D40" s="576"/>
      <c r="E40" s="442"/>
      <c r="F40" s="443"/>
      <c r="G40" s="444"/>
      <c r="H40" s="442"/>
      <c r="I40" s="443"/>
      <c r="J40" s="575"/>
      <c r="K40" s="576"/>
      <c r="L40" s="442"/>
      <c r="M40" s="443"/>
      <c r="N40" s="444"/>
      <c r="O40" s="442"/>
      <c r="P40" s="561"/>
      <c r="Q40" s="571">
        <f t="shared" si="27"/>
        <v>0</v>
      </c>
      <c r="R40" s="572">
        <f t="shared" si="28"/>
        <v>0</v>
      </c>
      <c r="S40" s="527"/>
      <c r="T40" s="528"/>
      <c r="U40" s="529"/>
      <c r="V40" s="445">
        <f t="shared" si="55"/>
        <v>2</v>
      </c>
      <c r="W40" s="504">
        <f t="shared" si="30"/>
        <v>0</v>
      </c>
      <c r="X40" s="504">
        <f t="shared" si="31"/>
        <v>0</v>
      </c>
      <c r="Y40" s="504">
        <f t="shared" si="32"/>
      </c>
      <c r="Z40" s="504">
        <f t="shared" si="33"/>
        <v>0</v>
      </c>
      <c r="AA40" s="504">
        <f t="shared" si="34"/>
      </c>
      <c r="AB40" s="505">
        <f t="shared" si="35"/>
      </c>
      <c r="AC40" s="504">
        <f t="shared" si="36"/>
      </c>
      <c r="AD40" s="505">
        <f t="shared" si="37"/>
      </c>
      <c r="AE40" s="504">
        <f t="shared" si="38"/>
        <v>0</v>
      </c>
      <c r="AF40" s="504">
        <f t="shared" si="39"/>
        <v>0</v>
      </c>
      <c r="AG40" s="504">
        <f t="shared" si="40"/>
        <v>0</v>
      </c>
      <c r="AH40" s="506">
        <f t="shared" si="41"/>
      </c>
      <c r="AI40" s="120"/>
      <c r="AJ40" s="504">
        <f t="shared" si="42"/>
        <v>0</v>
      </c>
      <c r="AK40" s="504">
        <f t="shared" si="43"/>
        <v>0</v>
      </c>
      <c r="AL40" s="504">
        <f t="shared" si="44"/>
      </c>
      <c r="AM40" s="504">
        <f t="shared" si="45"/>
        <v>0</v>
      </c>
      <c r="AN40" s="504">
        <f t="shared" si="46"/>
      </c>
      <c r="AO40" s="505">
        <f t="shared" si="47"/>
      </c>
      <c r="AP40" s="504">
        <f t="shared" si="48"/>
      </c>
      <c r="AQ40" s="505">
        <f t="shared" si="49"/>
      </c>
      <c r="AR40" s="504">
        <f t="shared" si="50"/>
        <v>0</v>
      </c>
      <c r="AS40" s="504">
        <f t="shared" si="51"/>
        <v>0</v>
      </c>
      <c r="AT40" s="504">
        <f t="shared" si="52"/>
        <v>0</v>
      </c>
      <c r="AU40" s="506">
        <f t="shared" si="53"/>
      </c>
      <c r="AV40" s="120"/>
      <c r="AW40" s="500" t="str">
        <f t="shared" si="54"/>
        <v> / </v>
      </c>
      <c r="AX40" s="120"/>
      <c r="AY40" s="120"/>
      <c r="AZ40" s="120"/>
      <c r="BA40" s="120"/>
    </row>
    <row r="41" spans="1:53" s="446" customFormat="1" ht="25.5" customHeight="1" hidden="1">
      <c r="A41" s="562" t="s">
        <v>142</v>
      </c>
      <c r="B41" s="555">
        <f>Установка!D52+4</f>
        <v>11</v>
      </c>
      <c r="C41" s="575"/>
      <c r="D41" s="576"/>
      <c r="E41" s="442"/>
      <c r="F41" s="443"/>
      <c r="G41" s="444"/>
      <c r="H41" s="442"/>
      <c r="I41" s="443"/>
      <c r="J41" s="575"/>
      <c r="K41" s="576"/>
      <c r="L41" s="442"/>
      <c r="M41" s="443"/>
      <c r="N41" s="444"/>
      <c r="O41" s="442"/>
      <c r="P41" s="561"/>
      <c r="Q41" s="571">
        <f t="shared" si="27"/>
        <v>0</v>
      </c>
      <c r="R41" s="572">
        <f t="shared" si="28"/>
        <v>0</v>
      </c>
      <c r="S41" s="527"/>
      <c r="T41" s="528"/>
      <c r="U41" s="529"/>
      <c r="V41" s="445">
        <f t="shared" si="55"/>
        <v>2</v>
      </c>
      <c r="W41" s="504">
        <f t="shared" si="30"/>
        <v>0</v>
      </c>
      <c r="X41" s="504">
        <f t="shared" si="31"/>
        <v>0</v>
      </c>
      <c r="Y41" s="504">
        <f t="shared" si="32"/>
      </c>
      <c r="Z41" s="504">
        <f t="shared" si="33"/>
        <v>0</v>
      </c>
      <c r="AA41" s="504">
        <f t="shared" si="34"/>
      </c>
      <c r="AB41" s="505">
        <f t="shared" si="35"/>
      </c>
      <c r="AC41" s="504">
        <f t="shared" si="36"/>
      </c>
      <c r="AD41" s="505">
        <f t="shared" si="37"/>
      </c>
      <c r="AE41" s="504">
        <f t="shared" si="38"/>
        <v>0</v>
      </c>
      <c r="AF41" s="504">
        <f t="shared" si="39"/>
        <v>0</v>
      </c>
      <c r="AG41" s="504">
        <f t="shared" si="40"/>
        <v>0</v>
      </c>
      <c r="AH41" s="506">
        <f t="shared" si="41"/>
      </c>
      <c r="AI41" s="120"/>
      <c r="AJ41" s="504">
        <f t="shared" si="42"/>
        <v>0</v>
      </c>
      <c r="AK41" s="504">
        <f t="shared" si="43"/>
        <v>0</v>
      </c>
      <c r="AL41" s="504">
        <f t="shared" si="44"/>
      </c>
      <c r="AM41" s="504">
        <f t="shared" si="45"/>
        <v>0</v>
      </c>
      <c r="AN41" s="504">
        <f t="shared" si="46"/>
      </c>
      <c r="AO41" s="505">
        <f t="shared" si="47"/>
      </c>
      <c r="AP41" s="504">
        <f t="shared" si="48"/>
      </c>
      <c r="AQ41" s="505">
        <f t="shared" si="49"/>
      </c>
      <c r="AR41" s="504">
        <f t="shared" si="50"/>
        <v>0</v>
      </c>
      <c r="AS41" s="504">
        <f t="shared" si="51"/>
        <v>0</v>
      </c>
      <c r="AT41" s="504">
        <f t="shared" si="52"/>
        <v>0</v>
      </c>
      <c r="AU41" s="506">
        <f t="shared" si="53"/>
      </c>
      <c r="AV41" s="120"/>
      <c r="AW41" s="500" t="str">
        <f t="shared" si="54"/>
        <v> / </v>
      </c>
      <c r="AX41" s="120"/>
      <c r="AY41" s="120"/>
      <c r="AZ41" s="120"/>
      <c r="BA41" s="120"/>
    </row>
    <row r="42" spans="1:53" s="446" customFormat="1" ht="25.5" customHeight="1" hidden="1">
      <c r="A42" s="562" t="s">
        <v>143</v>
      </c>
      <c r="B42" s="555">
        <f>Установка!D52+5</f>
        <v>12</v>
      </c>
      <c r="C42" s="575"/>
      <c r="D42" s="576"/>
      <c r="E42" s="442"/>
      <c r="F42" s="443"/>
      <c r="G42" s="444"/>
      <c r="H42" s="442"/>
      <c r="I42" s="443"/>
      <c r="J42" s="575"/>
      <c r="K42" s="576"/>
      <c r="L42" s="442"/>
      <c r="M42" s="443"/>
      <c r="N42" s="444"/>
      <c r="O42" s="442"/>
      <c r="P42" s="561"/>
      <c r="Q42" s="571">
        <f t="shared" si="27"/>
        <v>0</v>
      </c>
      <c r="R42" s="572">
        <f t="shared" si="28"/>
        <v>0</v>
      </c>
      <c r="S42" s="527"/>
      <c r="T42" s="528"/>
      <c r="U42" s="529"/>
      <c r="V42" s="445">
        <f t="shared" si="55"/>
        <v>2</v>
      </c>
      <c r="W42" s="504">
        <f t="shared" si="30"/>
        <v>0</v>
      </c>
      <c r="X42" s="504">
        <f t="shared" si="31"/>
        <v>0</v>
      </c>
      <c r="Y42" s="504">
        <f t="shared" si="32"/>
      </c>
      <c r="Z42" s="504">
        <f t="shared" si="33"/>
        <v>0</v>
      </c>
      <c r="AA42" s="504">
        <f t="shared" si="34"/>
      </c>
      <c r="AB42" s="505">
        <f t="shared" si="35"/>
      </c>
      <c r="AC42" s="504">
        <f t="shared" si="36"/>
      </c>
      <c r="AD42" s="505">
        <f t="shared" si="37"/>
      </c>
      <c r="AE42" s="504">
        <f t="shared" si="38"/>
        <v>0</v>
      </c>
      <c r="AF42" s="504">
        <f t="shared" si="39"/>
        <v>0</v>
      </c>
      <c r="AG42" s="504">
        <f t="shared" si="40"/>
        <v>0</v>
      </c>
      <c r="AH42" s="506">
        <f t="shared" si="41"/>
      </c>
      <c r="AI42" s="120"/>
      <c r="AJ42" s="504">
        <f t="shared" si="42"/>
        <v>0</v>
      </c>
      <c r="AK42" s="504">
        <f t="shared" si="43"/>
        <v>0</v>
      </c>
      <c r="AL42" s="504">
        <f t="shared" si="44"/>
      </c>
      <c r="AM42" s="504">
        <f t="shared" si="45"/>
        <v>0</v>
      </c>
      <c r="AN42" s="504">
        <f t="shared" si="46"/>
      </c>
      <c r="AO42" s="505">
        <f t="shared" si="47"/>
      </c>
      <c r="AP42" s="504">
        <f t="shared" si="48"/>
      </c>
      <c r="AQ42" s="505">
        <f t="shared" si="49"/>
      </c>
      <c r="AR42" s="504">
        <f t="shared" si="50"/>
        <v>0</v>
      </c>
      <c r="AS42" s="504">
        <f t="shared" si="51"/>
        <v>0</v>
      </c>
      <c r="AT42" s="504">
        <f t="shared" si="52"/>
        <v>0</v>
      </c>
      <c r="AU42" s="506">
        <f t="shared" si="53"/>
      </c>
      <c r="AV42" s="120"/>
      <c r="AW42" s="500" t="str">
        <f t="shared" si="54"/>
        <v> / </v>
      </c>
      <c r="AX42" s="120"/>
      <c r="AY42" s="120"/>
      <c r="AZ42" s="120"/>
      <c r="BA42" s="120"/>
    </row>
    <row r="43" spans="1:53" s="446" customFormat="1" ht="25.5" customHeight="1" hidden="1" thickBot="1">
      <c r="A43" s="563" t="s">
        <v>144</v>
      </c>
      <c r="B43" s="564">
        <f>Установка!D52+6</f>
        <v>13</v>
      </c>
      <c r="C43" s="577"/>
      <c r="D43" s="578"/>
      <c r="E43" s="565"/>
      <c r="F43" s="566"/>
      <c r="G43" s="567"/>
      <c r="H43" s="565"/>
      <c r="I43" s="566"/>
      <c r="J43" s="577"/>
      <c r="K43" s="578"/>
      <c r="L43" s="565"/>
      <c r="M43" s="566"/>
      <c r="N43" s="567"/>
      <c r="O43" s="565"/>
      <c r="P43" s="568"/>
      <c r="Q43" s="573">
        <f t="shared" si="27"/>
        <v>0</v>
      </c>
      <c r="R43" s="574">
        <f t="shared" si="28"/>
        <v>0</v>
      </c>
      <c r="S43" s="530"/>
      <c r="T43" s="531"/>
      <c r="U43" s="532"/>
      <c r="V43" s="445">
        <f t="shared" si="55"/>
        <v>2</v>
      </c>
      <c r="W43" s="504">
        <f t="shared" si="30"/>
        <v>0</v>
      </c>
      <c r="X43" s="504">
        <f t="shared" si="31"/>
        <v>0</v>
      </c>
      <c r="Y43" s="504">
        <f t="shared" si="32"/>
      </c>
      <c r="Z43" s="504">
        <f t="shared" si="33"/>
        <v>0</v>
      </c>
      <c r="AA43" s="504">
        <f t="shared" si="34"/>
      </c>
      <c r="AB43" s="505">
        <f t="shared" si="35"/>
      </c>
      <c r="AC43" s="504">
        <f t="shared" si="36"/>
      </c>
      <c r="AD43" s="505">
        <f t="shared" si="37"/>
      </c>
      <c r="AE43" s="504">
        <f t="shared" si="38"/>
        <v>0</v>
      </c>
      <c r="AF43" s="504">
        <f t="shared" si="39"/>
        <v>0</v>
      </c>
      <c r="AG43" s="504">
        <f t="shared" si="40"/>
        <v>0</v>
      </c>
      <c r="AH43" s="506">
        <f t="shared" si="41"/>
      </c>
      <c r="AI43" s="120"/>
      <c r="AJ43" s="504">
        <f t="shared" si="42"/>
        <v>0</v>
      </c>
      <c r="AK43" s="504">
        <f t="shared" si="43"/>
        <v>0</v>
      </c>
      <c r="AL43" s="504">
        <f t="shared" si="44"/>
      </c>
      <c r="AM43" s="504">
        <f t="shared" si="45"/>
        <v>0</v>
      </c>
      <c r="AN43" s="504">
        <f t="shared" si="46"/>
      </c>
      <c r="AO43" s="505">
        <f t="shared" si="47"/>
      </c>
      <c r="AP43" s="504">
        <f t="shared" si="48"/>
      </c>
      <c r="AQ43" s="505">
        <f t="shared" si="49"/>
      </c>
      <c r="AR43" s="504">
        <f t="shared" si="50"/>
        <v>0</v>
      </c>
      <c r="AS43" s="504">
        <f t="shared" si="51"/>
        <v>0</v>
      </c>
      <c r="AT43" s="504">
        <f t="shared" si="52"/>
        <v>0</v>
      </c>
      <c r="AU43" s="506">
        <f t="shared" si="53"/>
      </c>
      <c r="AV43" s="120"/>
      <c r="AW43" s="500" t="str">
        <f t="shared" si="54"/>
        <v> / </v>
      </c>
      <c r="AX43" s="120"/>
      <c r="AY43" s="120"/>
      <c r="AZ43" s="120"/>
      <c r="BA43" s="120"/>
    </row>
    <row r="44" spans="1:30" s="453" customFormat="1" ht="14.25" customHeight="1">
      <c r="A44" s="447"/>
      <c r="B44" s="448"/>
      <c r="C44" s="448"/>
      <c r="D44" s="448"/>
      <c r="E44" s="449"/>
      <c r="F44" s="450"/>
      <c r="G44" s="451"/>
      <c r="H44" s="452"/>
      <c r="I44" s="450"/>
      <c r="J44" s="450"/>
      <c r="K44" s="450"/>
      <c r="L44" s="450"/>
      <c r="M44" s="450"/>
      <c r="N44" s="450"/>
      <c r="O44" s="450"/>
      <c r="P44" s="450"/>
      <c r="Q44" s="450"/>
      <c r="R44" s="450"/>
      <c r="S44" s="450"/>
      <c r="T44" s="452"/>
      <c r="U44" s="451"/>
      <c r="V44" s="452"/>
      <c r="W44" s="450"/>
      <c r="AD44" s="450"/>
    </row>
    <row r="45" spans="1:30" s="453" customFormat="1" ht="14.25" customHeight="1">
      <c r="A45" s="447"/>
      <c r="B45" s="448"/>
      <c r="C45" s="448"/>
      <c r="D45" s="448"/>
      <c r="E45" s="449"/>
      <c r="F45" s="450"/>
      <c r="G45" s="451"/>
      <c r="H45" s="452"/>
      <c r="I45" s="450"/>
      <c r="J45" s="450"/>
      <c r="K45" s="450"/>
      <c r="L45" s="450"/>
      <c r="M45" s="450"/>
      <c r="N45" s="450"/>
      <c r="O45" s="450"/>
      <c r="P45" s="450"/>
      <c r="Q45" s="450"/>
      <c r="R45" s="450"/>
      <c r="S45" s="450"/>
      <c r="T45" s="452"/>
      <c r="U45" s="451"/>
      <c r="V45" s="452"/>
      <c r="W45" s="450"/>
      <c r="AD45" s="450"/>
    </row>
    <row r="46" spans="1:30" s="453" customFormat="1" ht="14.25" customHeight="1">
      <c r="A46" s="447"/>
      <c r="B46" s="448"/>
      <c r="C46" s="448"/>
      <c r="D46" s="448"/>
      <c r="E46" s="449"/>
      <c r="F46" s="450"/>
      <c r="G46" s="451"/>
      <c r="H46" s="452"/>
      <c r="I46" s="450"/>
      <c r="J46" s="450"/>
      <c r="K46" s="450"/>
      <c r="L46" s="450"/>
      <c r="M46" s="450"/>
      <c r="N46" s="450"/>
      <c r="O46" s="450"/>
      <c r="P46" s="450"/>
      <c r="Q46" s="450"/>
      <c r="R46" s="450"/>
      <c r="S46" s="450"/>
      <c r="T46" s="452"/>
      <c r="U46" s="451"/>
      <c r="V46" s="452"/>
      <c r="W46" s="450"/>
      <c r="AD46" s="450"/>
    </row>
    <row r="47" spans="1:30" s="453" customFormat="1" ht="14.25" customHeight="1">
      <c r="A47" s="447"/>
      <c r="B47" s="448"/>
      <c r="C47" s="448"/>
      <c r="D47" s="448"/>
      <c r="E47" s="449"/>
      <c r="F47" s="450"/>
      <c r="G47" s="451"/>
      <c r="H47" s="452"/>
      <c r="I47" s="450"/>
      <c r="J47" s="450"/>
      <c r="K47" s="450"/>
      <c r="L47" s="450"/>
      <c r="M47" s="450"/>
      <c r="N47" s="450"/>
      <c r="O47" s="450"/>
      <c r="P47" s="450"/>
      <c r="Q47" s="450"/>
      <c r="R47" s="450"/>
      <c r="S47" s="450"/>
      <c r="T47" s="452"/>
      <c r="U47" s="451"/>
      <c r="V47" s="452"/>
      <c r="W47" s="450"/>
      <c r="AD47" s="450"/>
    </row>
    <row r="48" spans="1:30" s="453" customFormat="1" ht="14.25" customHeight="1">
      <c r="A48" s="447"/>
      <c r="B48" s="448"/>
      <c r="C48" s="448"/>
      <c r="D48" s="448"/>
      <c r="E48" s="449"/>
      <c r="F48" s="450"/>
      <c r="G48" s="451"/>
      <c r="H48" s="452"/>
      <c r="I48" s="450"/>
      <c r="J48" s="450"/>
      <c r="K48" s="450"/>
      <c r="L48" s="450"/>
      <c r="M48" s="450"/>
      <c r="N48" s="450"/>
      <c r="O48" s="450"/>
      <c r="P48" s="450"/>
      <c r="Q48" s="450"/>
      <c r="R48" s="450"/>
      <c r="S48" s="450"/>
      <c r="T48" s="452"/>
      <c r="U48" s="451"/>
      <c r="V48" s="452"/>
      <c r="W48" s="450"/>
      <c r="AD48" s="450"/>
    </row>
    <row r="49" spans="1:30" ht="14.25" customHeight="1">
      <c r="A49" s="447"/>
      <c r="B49" s="448"/>
      <c r="C49" s="448"/>
      <c r="D49" s="448"/>
      <c r="E49" s="449"/>
      <c r="F49" s="450"/>
      <c r="G49" s="451"/>
      <c r="H49" s="452"/>
      <c r="I49" s="450"/>
      <c r="J49" s="450"/>
      <c r="K49" s="450"/>
      <c r="L49" s="450"/>
      <c r="M49" s="450"/>
      <c r="N49" s="450"/>
      <c r="O49" s="450"/>
      <c r="P49" s="450"/>
      <c r="Q49" s="450"/>
      <c r="R49" s="450"/>
      <c r="S49" s="450"/>
      <c r="T49" s="452"/>
      <c r="U49" s="451"/>
      <c r="AD49" s="450"/>
    </row>
    <row r="50" spans="1:30" ht="14.25" customHeight="1">
      <c r="A50" s="447"/>
      <c r="B50" s="448"/>
      <c r="C50" s="448"/>
      <c r="D50" s="448"/>
      <c r="E50" s="449"/>
      <c r="F50" s="450"/>
      <c r="G50" s="451"/>
      <c r="H50" s="452"/>
      <c r="I50" s="450"/>
      <c r="J50" s="450"/>
      <c r="K50" s="450"/>
      <c r="L50" s="450"/>
      <c r="M50" s="450"/>
      <c r="N50" s="450"/>
      <c r="O50" s="450"/>
      <c r="P50" s="450"/>
      <c r="Q50" s="450"/>
      <c r="R50" s="450"/>
      <c r="S50" s="450"/>
      <c r="T50" s="452"/>
      <c r="U50" s="451"/>
      <c r="AD50" s="450"/>
    </row>
    <row r="51" spans="1:30" ht="14.25" customHeight="1">
      <c r="A51" s="447"/>
      <c r="B51" s="448"/>
      <c r="C51" s="448"/>
      <c r="D51" s="448"/>
      <c r="E51" s="449"/>
      <c r="F51" s="450"/>
      <c r="G51" s="451"/>
      <c r="H51" s="452"/>
      <c r="I51" s="450"/>
      <c r="J51" s="450"/>
      <c r="K51" s="450"/>
      <c r="L51" s="450"/>
      <c r="M51" s="450"/>
      <c r="N51" s="450"/>
      <c r="O51" s="450"/>
      <c r="P51" s="450"/>
      <c r="Q51" s="450"/>
      <c r="R51" s="450"/>
      <c r="S51" s="450"/>
      <c r="T51" s="452"/>
      <c r="U51" s="451"/>
      <c r="AD51" s="450"/>
    </row>
    <row r="52" spans="1:30" ht="14.25" customHeight="1">
      <c r="A52" s="447"/>
      <c r="B52" s="448"/>
      <c r="C52" s="448"/>
      <c r="D52" s="448"/>
      <c r="E52" s="449"/>
      <c r="F52" s="450"/>
      <c r="G52" s="451"/>
      <c r="H52" s="452"/>
      <c r="I52" s="450"/>
      <c r="J52" s="450"/>
      <c r="K52" s="450"/>
      <c r="L52" s="450"/>
      <c r="M52" s="450"/>
      <c r="N52" s="450"/>
      <c r="O52" s="450"/>
      <c r="P52" s="450"/>
      <c r="Q52" s="450"/>
      <c r="R52" s="450"/>
      <c r="S52" s="450"/>
      <c r="T52" s="452"/>
      <c r="U52" s="451"/>
      <c r="AD52" s="450"/>
    </row>
    <row r="53" spans="1:30" ht="14.25" customHeight="1">
      <c r="A53" s="447"/>
      <c r="B53" s="448"/>
      <c r="C53" s="448"/>
      <c r="D53" s="448"/>
      <c r="E53" s="449"/>
      <c r="F53" s="450"/>
      <c r="G53" s="451"/>
      <c r="H53" s="452"/>
      <c r="I53" s="450"/>
      <c r="J53" s="450"/>
      <c r="K53" s="450"/>
      <c r="L53" s="450"/>
      <c r="M53" s="450"/>
      <c r="N53" s="450"/>
      <c r="O53" s="450"/>
      <c r="P53" s="450"/>
      <c r="Q53" s="450"/>
      <c r="R53" s="450"/>
      <c r="S53" s="450"/>
      <c r="T53" s="452"/>
      <c r="U53" s="451"/>
      <c r="AD53" s="450"/>
    </row>
    <row r="54" spans="1:30" ht="14.25" customHeight="1">
      <c r="A54" s="447"/>
      <c r="B54" s="448"/>
      <c r="C54" s="448"/>
      <c r="D54" s="448"/>
      <c r="E54" s="449"/>
      <c r="F54" s="450"/>
      <c r="G54" s="451"/>
      <c r="H54" s="452"/>
      <c r="I54" s="450"/>
      <c r="J54" s="450"/>
      <c r="K54" s="450"/>
      <c r="L54" s="450"/>
      <c r="M54" s="450"/>
      <c r="N54" s="450"/>
      <c r="O54" s="450"/>
      <c r="P54" s="450"/>
      <c r="Q54" s="450"/>
      <c r="R54" s="450"/>
      <c r="S54" s="450"/>
      <c r="T54" s="452"/>
      <c r="U54" s="451"/>
      <c r="AD54" s="450"/>
    </row>
    <row r="55" spans="1:30" ht="14.25" customHeight="1">
      <c r="A55" s="447"/>
      <c r="B55" s="448"/>
      <c r="C55" s="448"/>
      <c r="D55" s="448"/>
      <c r="E55" s="449"/>
      <c r="F55" s="450"/>
      <c r="G55" s="451"/>
      <c r="H55" s="452"/>
      <c r="I55" s="450"/>
      <c r="J55" s="450"/>
      <c r="K55" s="450"/>
      <c r="L55" s="450"/>
      <c r="M55" s="450"/>
      <c r="N55" s="450"/>
      <c r="O55" s="450"/>
      <c r="P55" s="450"/>
      <c r="Q55" s="450"/>
      <c r="R55" s="450"/>
      <c r="S55" s="450"/>
      <c r="T55" s="452"/>
      <c r="U55" s="451"/>
      <c r="AD55" s="450"/>
    </row>
    <row r="56" spans="1:30" ht="14.25" customHeight="1">
      <c r="A56" s="447"/>
      <c r="B56" s="448"/>
      <c r="C56" s="448"/>
      <c r="D56" s="448"/>
      <c r="E56" s="449"/>
      <c r="F56" s="450"/>
      <c r="G56" s="451"/>
      <c r="H56" s="452"/>
      <c r="I56" s="450"/>
      <c r="J56" s="450"/>
      <c r="K56" s="450"/>
      <c r="L56" s="450"/>
      <c r="M56" s="450"/>
      <c r="N56" s="450"/>
      <c r="O56" s="450"/>
      <c r="P56" s="450"/>
      <c r="Q56" s="450"/>
      <c r="R56" s="450"/>
      <c r="S56" s="450"/>
      <c r="T56" s="452"/>
      <c r="U56" s="451"/>
      <c r="AD56" s="450"/>
    </row>
    <row r="57" spans="1:30" ht="14.25" customHeight="1">
      <c r="A57" s="447"/>
      <c r="B57" s="448"/>
      <c r="C57" s="448"/>
      <c r="D57" s="448"/>
      <c r="E57" s="449"/>
      <c r="F57" s="450"/>
      <c r="G57" s="451"/>
      <c r="H57" s="452"/>
      <c r="I57" s="450"/>
      <c r="J57" s="450"/>
      <c r="K57" s="450"/>
      <c r="L57" s="450"/>
      <c r="M57" s="450"/>
      <c r="N57" s="450"/>
      <c r="O57" s="450"/>
      <c r="P57" s="450"/>
      <c r="Q57" s="450"/>
      <c r="R57" s="450"/>
      <c r="S57" s="450"/>
      <c r="T57" s="452"/>
      <c r="U57" s="451"/>
      <c r="AD57" s="450"/>
    </row>
    <row r="58" spans="1:30" ht="14.25" customHeight="1">
      <c r="A58" s="447"/>
      <c r="B58" s="448"/>
      <c r="C58" s="448"/>
      <c r="D58" s="448"/>
      <c r="E58" s="449"/>
      <c r="F58" s="450"/>
      <c r="G58" s="451"/>
      <c r="H58" s="452"/>
      <c r="I58" s="450"/>
      <c r="J58" s="450"/>
      <c r="K58" s="450"/>
      <c r="L58" s="450"/>
      <c r="M58" s="450"/>
      <c r="N58" s="450"/>
      <c r="O58" s="450"/>
      <c r="P58" s="450"/>
      <c r="Q58" s="450"/>
      <c r="R58" s="450"/>
      <c r="S58" s="450"/>
      <c r="T58" s="452"/>
      <c r="U58" s="451"/>
      <c r="AD58" s="450"/>
    </row>
    <row r="59" spans="1:30" ht="14.25" customHeight="1">
      <c r="A59" s="447"/>
      <c r="B59" s="448"/>
      <c r="C59" s="448"/>
      <c r="D59" s="448"/>
      <c r="E59" s="449"/>
      <c r="F59" s="450"/>
      <c r="G59" s="451"/>
      <c r="H59" s="452"/>
      <c r="I59" s="450"/>
      <c r="J59" s="450"/>
      <c r="K59" s="450"/>
      <c r="L59" s="450"/>
      <c r="M59" s="450"/>
      <c r="N59" s="450"/>
      <c r="O59" s="450"/>
      <c r="P59" s="450"/>
      <c r="Q59" s="450"/>
      <c r="R59" s="450"/>
      <c r="S59" s="450"/>
      <c r="T59" s="452"/>
      <c r="U59" s="451"/>
      <c r="AD59" s="450"/>
    </row>
    <row r="60" spans="1:30" ht="14.25" customHeight="1">
      <c r="A60" s="447"/>
      <c r="B60" s="448"/>
      <c r="C60" s="448"/>
      <c r="D60" s="448"/>
      <c r="E60" s="449"/>
      <c r="F60" s="450"/>
      <c r="G60" s="451"/>
      <c r="H60" s="452"/>
      <c r="I60" s="450"/>
      <c r="J60" s="450"/>
      <c r="K60" s="450"/>
      <c r="L60" s="450"/>
      <c r="M60" s="450"/>
      <c r="N60" s="450"/>
      <c r="O60" s="450"/>
      <c r="P60" s="450"/>
      <c r="Q60" s="450"/>
      <c r="R60" s="450"/>
      <c r="S60" s="450"/>
      <c r="T60" s="452"/>
      <c r="U60" s="451"/>
      <c r="AD60" s="450"/>
    </row>
    <row r="61" spans="1:30" ht="14.25" customHeight="1">
      <c r="A61" s="447"/>
      <c r="B61" s="448"/>
      <c r="C61" s="448"/>
      <c r="D61" s="448"/>
      <c r="E61" s="449"/>
      <c r="F61" s="450"/>
      <c r="G61" s="451"/>
      <c r="H61" s="452"/>
      <c r="I61" s="450"/>
      <c r="J61" s="450"/>
      <c r="K61" s="450"/>
      <c r="L61" s="450"/>
      <c r="M61" s="450"/>
      <c r="N61" s="450"/>
      <c r="O61" s="450"/>
      <c r="P61" s="450"/>
      <c r="Q61" s="450"/>
      <c r="R61" s="450"/>
      <c r="S61" s="450"/>
      <c r="T61" s="452"/>
      <c r="U61" s="451"/>
      <c r="AD61" s="450"/>
    </row>
    <row r="62" spans="1:30" ht="14.25" customHeight="1">
      <c r="A62" s="447"/>
      <c r="B62" s="448"/>
      <c r="C62" s="448"/>
      <c r="D62" s="448"/>
      <c r="E62" s="449"/>
      <c r="F62" s="450"/>
      <c r="G62" s="451"/>
      <c r="H62" s="452"/>
      <c r="I62" s="450"/>
      <c r="J62" s="450"/>
      <c r="K62" s="450"/>
      <c r="L62" s="450"/>
      <c r="M62" s="450"/>
      <c r="N62" s="450"/>
      <c r="O62" s="450"/>
      <c r="P62" s="450"/>
      <c r="Q62" s="450"/>
      <c r="R62" s="450"/>
      <c r="S62" s="450"/>
      <c r="T62" s="452"/>
      <c r="U62" s="451"/>
      <c r="AD62" s="450"/>
    </row>
    <row r="63" spans="1:30" ht="14.25" customHeight="1">
      <c r="A63" s="447"/>
      <c r="B63" s="448"/>
      <c r="C63" s="448"/>
      <c r="D63" s="448"/>
      <c r="E63" s="449"/>
      <c r="F63" s="450"/>
      <c r="G63" s="451"/>
      <c r="H63" s="452"/>
      <c r="I63" s="450"/>
      <c r="J63" s="450"/>
      <c r="K63" s="450"/>
      <c r="L63" s="450"/>
      <c r="M63" s="450"/>
      <c r="N63" s="450"/>
      <c r="O63" s="450"/>
      <c r="P63" s="450"/>
      <c r="Q63" s="450"/>
      <c r="R63" s="450"/>
      <c r="S63" s="450"/>
      <c r="T63" s="452"/>
      <c r="U63" s="451"/>
      <c r="AD63" s="450"/>
    </row>
    <row r="64" spans="1:30" ht="14.25" customHeight="1">
      <c r="A64" s="447"/>
      <c r="B64" s="448"/>
      <c r="C64" s="448"/>
      <c r="D64" s="448"/>
      <c r="E64" s="449"/>
      <c r="F64" s="450"/>
      <c r="G64" s="451"/>
      <c r="H64" s="452"/>
      <c r="I64" s="450"/>
      <c r="J64" s="450"/>
      <c r="K64" s="450"/>
      <c r="L64" s="450"/>
      <c r="M64" s="450"/>
      <c r="N64" s="450"/>
      <c r="O64" s="450"/>
      <c r="P64" s="450"/>
      <c r="Q64" s="450"/>
      <c r="R64" s="450"/>
      <c r="S64" s="450"/>
      <c r="T64" s="452"/>
      <c r="U64" s="451"/>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1:30" ht="14.25" customHeight="1">
      <c r="A91" s="447"/>
      <c r="B91" s="448"/>
      <c r="C91" s="448"/>
      <c r="D91" s="448"/>
      <c r="E91" s="449"/>
      <c r="F91" s="450"/>
      <c r="G91" s="451"/>
      <c r="H91" s="452"/>
      <c r="I91" s="450"/>
      <c r="J91" s="450"/>
      <c r="K91" s="450"/>
      <c r="L91" s="450"/>
      <c r="M91" s="450"/>
      <c r="N91" s="450"/>
      <c r="O91" s="450"/>
      <c r="P91" s="450"/>
      <c r="Q91" s="450"/>
      <c r="R91" s="450"/>
      <c r="S91" s="450"/>
      <c r="T91" s="452"/>
      <c r="U91" s="451"/>
      <c r="AD91" s="450"/>
    </row>
    <row r="92" spans="1:30" ht="14.25" customHeight="1">
      <c r="A92" s="447"/>
      <c r="B92" s="448"/>
      <c r="C92" s="448"/>
      <c r="D92" s="448"/>
      <c r="E92" s="449"/>
      <c r="F92" s="450"/>
      <c r="G92" s="451"/>
      <c r="H92" s="452"/>
      <c r="I92" s="450"/>
      <c r="J92" s="450"/>
      <c r="K92" s="450"/>
      <c r="L92" s="450"/>
      <c r="M92" s="450"/>
      <c r="N92" s="450"/>
      <c r="O92" s="450"/>
      <c r="P92" s="450"/>
      <c r="Q92" s="450"/>
      <c r="R92" s="450"/>
      <c r="S92" s="450"/>
      <c r="T92" s="452"/>
      <c r="U92" s="451"/>
      <c r="AD92" s="450"/>
    </row>
    <row r="93" spans="1:30" ht="14.25" customHeight="1">
      <c r="A93" s="447"/>
      <c r="B93" s="448"/>
      <c r="C93" s="448"/>
      <c r="D93" s="448"/>
      <c r="E93" s="449"/>
      <c r="F93" s="450"/>
      <c r="G93" s="451"/>
      <c r="H93" s="452"/>
      <c r="I93" s="450"/>
      <c r="J93" s="450"/>
      <c r="K93" s="450"/>
      <c r="L93" s="450"/>
      <c r="M93" s="450"/>
      <c r="N93" s="450"/>
      <c r="O93" s="450"/>
      <c r="P93" s="450"/>
      <c r="Q93" s="450"/>
      <c r="R93" s="450"/>
      <c r="S93" s="450"/>
      <c r="T93" s="452"/>
      <c r="U93" s="451"/>
      <c r="AD93" s="450"/>
    </row>
    <row r="94" spans="4:5" ht="12.75" customHeight="1">
      <c r="D94" s="455"/>
      <c r="E94" s="456"/>
    </row>
    <row r="95" spans="4:5" ht="12.75" customHeight="1">
      <c r="D95" s="455"/>
      <c r="E95" s="456"/>
    </row>
    <row r="96" spans="4:5" ht="12.75" customHeight="1">
      <c r="D96" s="455"/>
      <c r="E96" s="456"/>
    </row>
    <row r="97" spans="4:256" ht="12.75" customHeight="1">
      <c r="D97" s="455"/>
      <c r="E97" s="456"/>
      <c r="X97" s="450"/>
      <c r="Y97" s="450"/>
      <c r="Z97" s="450"/>
      <c r="AA97" s="450"/>
      <c r="AB97" s="450"/>
      <c r="AC97" s="450"/>
      <c r="AD97" s="450"/>
      <c r="AE97" s="450"/>
      <c r="AF97" s="450"/>
      <c r="AG97" s="450"/>
      <c r="AH97" s="450"/>
      <c r="AI97" s="450"/>
      <c r="AJ97" s="450"/>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c r="IS97" s="438"/>
      <c r="IT97" s="438"/>
      <c r="IU97" s="438"/>
      <c r="IV97" s="438"/>
    </row>
    <row r="98" spans="1:21" s="536" customFormat="1" ht="54" customHeight="1" hidden="1">
      <c r="A98" s="673" t="s">
        <v>145</v>
      </c>
      <c r="B98" s="673"/>
      <c r="C98" s="673"/>
      <c r="D98" s="673"/>
      <c r="E98" s="457">
        <f>26-COUNTIF(E12:E37,"")</f>
        <v>6</v>
      </c>
      <c r="F98" s="458"/>
      <c r="G98" s="459"/>
      <c r="H98" s="457"/>
      <c r="I98" s="458"/>
      <c r="J98" s="458"/>
      <c r="K98" s="458"/>
      <c r="L98" s="458"/>
      <c r="M98" s="458"/>
      <c r="N98" s="458"/>
      <c r="O98" s="458"/>
      <c r="P98" s="458"/>
      <c r="Q98" s="458"/>
      <c r="R98" s="458"/>
      <c r="S98" s="460">
        <f>26-COUNTIF(S12:S37,"")</f>
        <v>0</v>
      </c>
      <c r="T98" s="460">
        <f>COUNTIF(T12:T37,"СК")</f>
        <v>0</v>
      </c>
      <c r="U98" s="460">
        <f>26-COUNTIF(U12:U37,"")</f>
        <v>7</v>
      </c>
    </row>
    <row r="99" spans="1:21" s="536" customFormat="1" ht="54" customHeight="1" hidden="1">
      <c r="A99" s="674" t="s">
        <v>146</v>
      </c>
      <c r="B99" s="674"/>
      <c r="C99" s="674"/>
      <c r="D99" s="674"/>
      <c r="E99" s="457">
        <f>6-COUNTIF(E38:E43,"")</f>
        <v>0</v>
      </c>
      <c r="F99" s="458"/>
      <c r="G99" s="459"/>
      <c r="H99" s="457"/>
      <c r="I99" s="458"/>
      <c r="J99" s="458"/>
      <c r="K99" s="458"/>
      <c r="L99" s="458"/>
      <c r="M99" s="458"/>
      <c r="N99" s="458"/>
      <c r="O99" s="458"/>
      <c r="P99" s="458"/>
      <c r="Q99" s="458"/>
      <c r="R99" s="458"/>
      <c r="S99" s="460">
        <f>6-COUNTIF(S38:S43,"")</f>
        <v>0</v>
      </c>
      <c r="T99" s="460">
        <f>COUNTIF(T38:T43,"СК")</f>
        <v>0</v>
      </c>
      <c r="U99" s="460">
        <f>6-COUNTIF(U38:U43,"")</f>
        <v>1</v>
      </c>
    </row>
    <row r="100" spans="1:21" s="536" customFormat="1" ht="54" customHeight="1" hidden="1">
      <c r="A100" s="674" t="s">
        <v>147</v>
      </c>
      <c r="B100" s="674"/>
      <c r="C100" s="674"/>
      <c r="D100" s="674"/>
      <c r="E100" s="457">
        <f>32-COUNTIF(E12:E43,"")</f>
        <v>6</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8</v>
      </c>
    </row>
    <row r="101" spans="4:256" ht="12.75" customHeight="1">
      <c r="D101" s="455"/>
      <c r="E101" s="456"/>
      <c r="X101" s="450"/>
      <c r="Y101" s="450"/>
      <c r="Z101" s="450"/>
      <c r="AA101" s="450"/>
      <c r="AB101" s="450"/>
      <c r="AC101" s="450"/>
      <c r="AD101" s="450"/>
      <c r="AE101" s="450"/>
      <c r="AF101" s="450"/>
      <c r="AG101" s="450"/>
      <c r="AH101" s="450"/>
      <c r="AI101" s="450"/>
      <c r="AJ101" s="450"/>
      <c r="AK101" s="438"/>
      <c r="AL101" s="438"/>
      <c r="AM101" s="438"/>
      <c r="AN101" s="438"/>
      <c r="AO101" s="438"/>
      <c r="AP101" s="438"/>
      <c r="AQ101" s="438"/>
      <c r="AR101" s="438"/>
      <c r="AS101" s="438"/>
      <c r="AT101" s="438"/>
      <c r="AU101" s="438"/>
      <c r="AV101" s="438"/>
      <c r="AW101" s="438"/>
      <c r="AX101" s="438"/>
      <c r="AY101" s="438"/>
      <c r="AZ101" s="438"/>
      <c r="BA101" s="438"/>
      <c r="BB101" s="438"/>
      <c r="BC101" s="438"/>
      <c r="BD101" s="438"/>
      <c r="BE101" s="438"/>
      <c r="BF101" s="438"/>
      <c r="BG101" s="438"/>
      <c r="BH101" s="438"/>
      <c r="BI101" s="438"/>
      <c r="BJ101" s="438"/>
      <c r="BK101" s="438"/>
      <c r="BL101" s="438"/>
      <c r="BM101" s="438"/>
      <c r="BN101" s="438"/>
      <c r="BO101" s="438"/>
      <c r="BP101" s="438"/>
      <c r="BQ101" s="438"/>
      <c r="BR101" s="438"/>
      <c r="BS101" s="438"/>
      <c r="BT101" s="438"/>
      <c r="BU101" s="438"/>
      <c r="BV101" s="438"/>
      <c r="BW101" s="438"/>
      <c r="BX101" s="438"/>
      <c r="BY101" s="438"/>
      <c r="BZ101" s="438"/>
      <c r="CA101" s="438"/>
      <c r="CB101" s="438"/>
      <c r="CC101" s="438"/>
      <c r="CD101" s="438"/>
      <c r="CE101" s="438"/>
      <c r="CF101" s="438"/>
      <c r="CG101" s="438"/>
      <c r="CH101" s="438"/>
      <c r="CI101" s="438"/>
      <c r="CJ101" s="438"/>
      <c r="CK101" s="438"/>
      <c r="CL101" s="438"/>
      <c r="CM101" s="438"/>
      <c r="CN101" s="438"/>
      <c r="CO101" s="438"/>
      <c r="CP101" s="438"/>
      <c r="CQ101" s="438"/>
      <c r="CR101" s="438"/>
      <c r="CS101" s="438"/>
      <c r="CT101" s="438"/>
      <c r="CU101" s="438"/>
      <c r="CV101" s="438"/>
      <c r="CW101" s="438"/>
      <c r="CX101" s="438"/>
      <c r="CY101" s="438"/>
      <c r="CZ101" s="438"/>
      <c r="DA101" s="438"/>
      <c r="DB101" s="438"/>
      <c r="DC101" s="438"/>
      <c r="DD101" s="438"/>
      <c r="DE101" s="438"/>
      <c r="DF101" s="438"/>
      <c r="DG101" s="438"/>
      <c r="DH101" s="438"/>
      <c r="DI101" s="438"/>
      <c r="DJ101" s="438"/>
      <c r="DK101" s="438"/>
      <c r="DL101" s="438"/>
      <c r="DM101" s="438"/>
      <c r="DN101" s="438"/>
      <c r="DO101" s="438"/>
      <c r="DP101" s="438"/>
      <c r="DQ101" s="438"/>
      <c r="DR101" s="438"/>
      <c r="DS101" s="438"/>
      <c r="DT101" s="438"/>
      <c r="DU101" s="438"/>
      <c r="DV101" s="438"/>
      <c r="DW101" s="438"/>
      <c r="DX101" s="438"/>
      <c r="DY101" s="438"/>
      <c r="DZ101" s="438"/>
      <c r="EA101" s="438"/>
      <c r="EB101" s="438"/>
      <c r="EC101" s="438"/>
      <c r="ED101" s="438"/>
      <c r="EE101" s="438"/>
      <c r="EF101" s="438"/>
      <c r="EG101" s="438"/>
      <c r="EH101" s="438"/>
      <c r="EI101" s="438"/>
      <c r="EJ101" s="438"/>
      <c r="EK101" s="438"/>
      <c r="EL101" s="438"/>
      <c r="EM101" s="438"/>
      <c r="EN101" s="438"/>
      <c r="EO101" s="438"/>
      <c r="EP101" s="438"/>
      <c r="EQ101" s="438"/>
      <c r="ER101" s="438"/>
      <c r="ES101" s="438"/>
      <c r="ET101" s="438"/>
      <c r="EU101" s="438"/>
      <c r="EV101" s="438"/>
      <c r="EW101" s="438"/>
      <c r="EX101" s="438"/>
      <c r="EY101" s="438"/>
      <c r="EZ101" s="438"/>
      <c r="FA101" s="438"/>
      <c r="FB101" s="438"/>
      <c r="FC101" s="438"/>
      <c r="FD101" s="438"/>
      <c r="FE101" s="438"/>
      <c r="FF101" s="438"/>
      <c r="FG101" s="438"/>
      <c r="FH101" s="438"/>
      <c r="FI101" s="438"/>
      <c r="FJ101" s="438"/>
      <c r="FK101" s="438"/>
      <c r="FL101" s="438"/>
      <c r="FM101" s="438"/>
      <c r="FN101" s="438"/>
      <c r="FO101" s="438"/>
      <c r="FP101" s="438"/>
      <c r="FQ101" s="438"/>
      <c r="FR101" s="438"/>
      <c r="FS101" s="438"/>
      <c r="FT101" s="438"/>
      <c r="FU101" s="438"/>
      <c r="FV101" s="438"/>
      <c r="FW101" s="438"/>
      <c r="FX101" s="438"/>
      <c r="FY101" s="438"/>
      <c r="FZ101" s="438"/>
      <c r="GA101" s="438"/>
      <c r="GB101" s="438"/>
      <c r="GC101" s="438"/>
      <c r="GD101" s="438"/>
      <c r="GE101" s="438"/>
      <c r="GF101" s="438"/>
      <c r="GG101" s="438"/>
      <c r="GH101" s="438"/>
      <c r="GI101" s="438"/>
      <c r="GJ101" s="438"/>
      <c r="GK101" s="438"/>
      <c r="GL101" s="438"/>
      <c r="GM101" s="438"/>
      <c r="GN101" s="438"/>
      <c r="GO101" s="438"/>
      <c r="GP101" s="438"/>
      <c r="GQ101" s="438"/>
      <c r="GR101" s="438"/>
      <c r="GS101" s="438"/>
      <c r="GT101" s="438"/>
      <c r="GU101" s="438"/>
      <c r="GV101" s="438"/>
      <c r="GW101" s="438"/>
      <c r="GX101" s="438"/>
      <c r="GY101" s="438"/>
      <c r="GZ101" s="438"/>
      <c r="HA101" s="438"/>
      <c r="HB101" s="438"/>
      <c r="HC101" s="438"/>
      <c r="HD101" s="438"/>
      <c r="HE101" s="438"/>
      <c r="HF101" s="438"/>
      <c r="HG101" s="438"/>
      <c r="HH101" s="438"/>
      <c r="HI101" s="438"/>
      <c r="HJ101" s="438"/>
      <c r="HK101" s="438"/>
      <c r="HL101" s="438"/>
      <c r="HM101" s="438"/>
      <c r="HN101" s="438"/>
      <c r="HO101" s="438"/>
      <c r="HP101" s="438"/>
      <c r="HQ101" s="438"/>
      <c r="HR101" s="438"/>
      <c r="HS101" s="438"/>
      <c r="HT101" s="438"/>
      <c r="HU101" s="438"/>
      <c r="HV101" s="438"/>
      <c r="HW101" s="438"/>
      <c r="HX101" s="438"/>
      <c r="HY101" s="438"/>
      <c r="HZ101" s="438"/>
      <c r="IA101" s="438"/>
      <c r="IB101" s="438"/>
      <c r="IC101" s="438"/>
      <c r="ID101" s="438"/>
      <c r="IE101" s="438"/>
      <c r="IF101" s="438"/>
      <c r="IG101" s="438"/>
      <c r="IH101" s="438"/>
      <c r="II101" s="438"/>
      <c r="IJ101" s="438"/>
      <c r="IK101" s="438"/>
      <c r="IL101" s="438"/>
      <c r="IM101" s="438"/>
      <c r="IN101" s="438"/>
      <c r="IO101" s="438"/>
      <c r="IP101" s="438"/>
      <c r="IQ101" s="438"/>
      <c r="IR101" s="438"/>
      <c r="IS101" s="438"/>
      <c r="IT101" s="438"/>
      <c r="IU101" s="438"/>
      <c r="IV101" s="438"/>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sheetData>
  <sheetProtection sheet="1" objects="1" scenarios="1" selectLockedCells="1"/>
  <mergeCells count="16">
    <mergeCell ref="W10:AH10"/>
    <mergeCell ref="AJ10:AU10"/>
    <mergeCell ref="AX10:BA10"/>
    <mergeCell ref="A10:P10"/>
    <mergeCell ref="A1:D1"/>
    <mergeCell ref="A2:D2"/>
    <mergeCell ref="A3:D3"/>
    <mergeCell ref="A4:D4"/>
    <mergeCell ref="A98:D98"/>
    <mergeCell ref="A99:D99"/>
    <mergeCell ref="A100:D100"/>
    <mergeCell ref="A5:D5"/>
    <mergeCell ref="A6:D6"/>
    <mergeCell ref="A7:D7"/>
    <mergeCell ref="A8:D8"/>
    <mergeCell ref="A9:P9"/>
  </mergeCells>
  <conditionalFormatting sqref="A12:A37 B12:B43 E12:I43 L12:P43 S12:U43">
    <cfRule type="expression" priority="1" dxfId="187" stopIfTrue="1">
      <formula>OR($U12="х",$U12="x")</formula>
    </cfRule>
    <cfRule type="expression" priority="2" dxfId="192" stopIfTrue="1">
      <formula>$U12="ОЭ"</formula>
    </cfRule>
  </conditionalFormatting>
  <conditionalFormatting sqref="AJ12:AT43 W12:AG43">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38" r:id="rId3"/>
  <drawing r:id="rId2"/>
  <legacy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1:J98"/>
  <sheetViews>
    <sheetView showGridLines="0" showRowColHeaders="0" showZeros="0" zoomScalePageLayoutView="0" workbookViewId="0" topLeftCell="A1">
      <pane ySplit="13" topLeftCell="A14" activePane="bottomLeft" state="frozen"/>
      <selection pane="topLeft" activeCell="A1" sqref="A1"/>
      <selection pane="bottomLeft" activeCell="C9" sqref="C9"/>
    </sheetView>
  </sheetViews>
  <sheetFormatPr defaultColWidth="9.00390625" defaultRowHeight="12.75"/>
  <cols>
    <col min="1" max="1" width="4.00390625" style="118" customWidth="1"/>
    <col min="2" max="2" width="22.625" style="118" bestFit="1" customWidth="1"/>
    <col min="3" max="3" width="11.375" style="121" customWidth="1"/>
    <col min="4" max="4" width="27.625" style="121" customWidth="1"/>
    <col min="5" max="5" width="26.625" style="121" customWidth="1"/>
    <col min="6" max="6" width="16.25390625" style="118" customWidth="1"/>
    <col min="7" max="7" width="13.125" style="121" customWidth="1"/>
    <col min="8" max="8" width="12.625" style="121" customWidth="1"/>
    <col min="9" max="9" width="13.125" style="121" customWidth="1"/>
    <col min="10" max="10" width="12.375" style="118" customWidth="1"/>
    <col min="11" max="16384" width="9.125" style="118" customWidth="1"/>
  </cols>
  <sheetData>
    <row r="1" ht="12.75">
      <c r="H1" s="287"/>
    </row>
    <row r="2" spans="1:9" ht="12.75">
      <c r="A2" s="709" t="s">
        <v>103</v>
      </c>
      <c r="B2" s="709"/>
      <c r="C2" s="709"/>
      <c r="D2" s="709"/>
      <c r="E2" s="709"/>
      <c r="F2" s="709"/>
      <c r="G2" s="709"/>
      <c r="H2" s="709"/>
      <c r="I2" s="709"/>
    </row>
    <row r="3" spans="1:9" ht="12.75">
      <c r="A3" s="709" t="s">
        <v>104</v>
      </c>
      <c r="B3" s="709"/>
      <c r="C3" s="709"/>
      <c r="D3" s="709"/>
      <c r="E3" s="709"/>
      <c r="F3" s="709"/>
      <c r="G3" s="709"/>
      <c r="H3" s="709"/>
      <c r="I3" s="709"/>
    </row>
    <row r="4" spans="1:10" ht="20.25" customHeight="1">
      <c r="A4" s="713" t="str">
        <f>IF(Установка!C3="","",UPPER(Установка!C3))</f>
        <v>ПЕРВЕНСТВО ЧЕЛЯБИНСКОЙ ОБЛАСТИ</v>
      </c>
      <c r="B4" s="713"/>
      <c r="C4" s="713"/>
      <c r="D4" s="713"/>
      <c r="E4" s="713"/>
      <c r="F4" s="713"/>
      <c r="G4" s="713"/>
      <c r="H4" s="713"/>
      <c r="I4" s="713"/>
      <c r="J4" s="288"/>
    </row>
    <row r="5" spans="1:9" ht="12.75">
      <c r="A5" s="711" t="s">
        <v>81</v>
      </c>
      <c r="B5" s="711"/>
      <c r="C5" s="711"/>
      <c r="D5" s="711"/>
      <c r="E5" s="711"/>
      <c r="F5" s="711"/>
      <c r="G5" s="711"/>
      <c r="H5" s="711"/>
      <c r="I5" s="712"/>
    </row>
    <row r="6" spans="1:10" s="285" customFormat="1" ht="14.25" customHeight="1">
      <c r="A6" s="289"/>
      <c r="B6" s="290" t="s">
        <v>82</v>
      </c>
      <c r="C6" s="695" t="str">
        <f>IF(Установка!$C$4="","",UPPER(Установка!$C$4))</f>
        <v>ДО 13 ЛЕТ</v>
      </c>
      <c r="D6" s="695"/>
      <c r="E6" s="695"/>
      <c r="F6" s="695"/>
      <c r="I6" s="291"/>
      <c r="J6" s="292" t="str">
        <f>IF(Установка!$C$5="","",UPPER(Установка!$C$5))</f>
        <v>ДЕВУШКИ</v>
      </c>
    </row>
    <row r="7" spans="1:10" s="285" customFormat="1" ht="12.75">
      <c r="A7" s="289"/>
      <c r="B7" s="290" t="s">
        <v>2</v>
      </c>
      <c r="C7" s="710" t="str">
        <f>IF(Установка!C6="","",UPPER(Установка!C6))</f>
        <v>ЧЕЛЯБИНСК</v>
      </c>
      <c r="D7" s="710"/>
      <c r="E7" s="293" t="s">
        <v>3</v>
      </c>
      <c r="F7" s="695" t="str">
        <f>IF(Установка!C7="","",UPPER(Установка!C7))</f>
        <v>07-13.09.2015</v>
      </c>
      <c r="G7" s="695"/>
      <c r="H7" s="695"/>
      <c r="I7" s="290" t="s">
        <v>83</v>
      </c>
      <c r="J7" s="294" t="str">
        <f>IF(Установка!$C$8="","",UPPER(Установка!$C$37))</f>
        <v>III</v>
      </c>
    </row>
    <row r="8" spans="1:10" s="298" customFormat="1" ht="12.75" customHeight="1">
      <c r="A8" s="295"/>
      <c r="B8" s="293"/>
      <c r="C8" s="714"/>
      <c r="D8" s="715"/>
      <c r="E8" s="296"/>
      <c r="F8" s="297"/>
      <c r="I8" s="290" t="s">
        <v>84</v>
      </c>
      <c r="J8" s="299" t="str">
        <f>IF(Установка!A37&lt;3,"",IF(Установка!$C$46="","",UPPER(Установка!$C$46)))</f>
        <v>В</v>
      </c>
    </row>
    <row r="9" spans="2:9" s="285" customFormat="1" ht="12.75">
      <c r="B9" s="300" t="s">
        <v>85</v>
      </c>
      <c r="C9" s="301"/>
      <c r="D9" s="301"/>
      <c r="E9" s="301"/>
      <c r="F9" s="302" t="s">
        <v>86</v>
      </c>
      <c r="G9" s="706"/>
      <c r="H9" s="706"/>
      <c r="I9" s="706"/>
    </row>
    <row r="10" spans="1:9" ht="12.75">
      <c r="A10" s="303"/>
      <c r="B10" s="303"/>
      <c r="C10" s="304" t="s">
        <v>87</v>
      </c>
      <c r="D10" s="304" t="s">
        <v>88</v>
      </c>
      <c r="E10" s="304" t="s">
        <v>89</v>
      </c>
      <c r="F10" s="303"/>
      <c r="G10" s="707" t="s">
        <v>90</v>
      </c>
      <c r="H10" s="707"/>
      <c r="I10" s="707"/>
    </row>
    <row r="11" spans="1:9" ht="13.5" thickBot="1">
      <c r="A11" s="303"/>
      <c r="B11" s="303"/>
      <c r="C11" s="304"/>
      <c r="D11" s="304"/>
      <c r="E11" s="304"/>
      <c r="F11" s="303"/>
      <c r="G11" s="304"/>
      <c r="H11" s="118"/>
      <c r="I11" s="304"/>
    </row>
    <row r="12" spans="1:10" ht="13.5" thickBot="1">
      <c r="A12" s="698" t="s">
        <v>13</v>
      </c>
      <c r="B12" s="696" t="s">
        <v>10</v>
      </c>
      <c r="C12" s="704" t="s">
        <v>11</v>
      </c>
      <c r="D12" s="704" t="s">
        <v>21</v>
      </c>
      <c r="E12" s="704" t="s">
        <v>91</v>
      </c>
      <c r="F12" s="702" t="s">
        <v>17</v>
      </c>
      <c r="G12" s="682" t="s">
        <v>92</v>
      </c>
      <c r="H12" s="683"/>
      <c r="I12" s="683"/>
      <c r="J12" s="684"/>
    </row>
    <row r="13" spans="1:10" s="309" customFormat="1" ht="23.25" thickBot="1">
      <c r="A13" s="699"/>
      <c r="B13" s="697"/>
      <c r="C13" s="705"/>
      <c r="D13" s="705"/>
      <c r="E13" s="705"/>
      <c r="F13" s="703"/>
      <c r="G13" s="305" t="s">
        <v>93</v>
      </c>
      <c r="H13" s="306" t="s">
        <v>23</v>
      </c>
      <c r="I13" s="307" t="s">
        <v>94</v>
      </c>
      <c r="J13" s="308" t="s">
        <v>95</v>
      </c>
    </row>
    <row r="14" spans="1:10" s="314" customFormat="1" ht="14.25" customHeight="1">
      <c r="A14" s="700">
        <v>1</v>
      </c>
      <c r="B14" s="310" t="str">
        <f ca="1">OFFSET('Регистрация ОТ'!$AB$11,ROW()/2-6,0)</f>
        <v>МАТВЕЕВА</v>
      </c>
      <c r="C14" s="537" t="str">
        <f ca="1">OFFSET('Регистрация ОТ'!$AC$11,ROW()/2-6,0)</f>
        <v>Е.О.</v>
      </c>
      <c r="D14" s="311" t="str">
        <f ca="1">OFFSET('Регистрация ОТ'!$H$11,ROW()/2-6,0)</f>
        <v>Уфа</v>
      </c>
      <c r="E14" s="337"/>
      <c r="F14" s="312"/>
      <c r="G14" s="313">
        <f ca="1">OFFSET('Регистрация ОТ'!$D$11,ROW()/2-6,0)</f>
        <v>0</v>
      </c>
      <c r="H14" s="716">
        <f>G14+G15</f>
        <v>112</v>
      </c>
      <c r="I14" s="692"/>
      <c r="J14" s="688">
        <f ca="1">OFFSET('Регистрация ОТ'!$T$11,ROW()/2-6,0)</f>
        <v>0</v>
      </c>
    </row>
    <row r="15" spans="1:10" s="318" customFormat="1" ht="14.25" customHeight="1">
      <c r="A15" s="701"/>
      <c r="B15" s="507" t="str">
        <f ca="1">OFFSET('Регистрация ОТ'!$AO$11,ROW()/2-6,0)</f>
        <v>ХАБАРОВА</v>
      </c>
      <c r="C15" s="538" t="str">
        <f ca="1">OFFSET('Регистрация ОТ'!$AP$11,ROW()/2-6,0)</f>
        <v>А.О.</v>
      </c>
      <c r="D15" s="508" t="str">
        <f ca="1">OFFSET('Регистрация ОТ'!$O$11,ROW()/2-6,0)</f>
        <v>Уфа</v>
      </c>
      <c r="E15" s="338"/>
      <c r="F15" s="316"/>
      <c r="G15" s="317">
        <f ca="1">OFFSET('Регистрация ОТ'!$K$11,ROW()/2-6,0)</f>
        <v>112</v>
      </c>
      <c r="H15" s="691"/>
      <c r="I15" s="693"/>
      <c r="J15" s="689"/>
    </row>
    <row r="16" spans="1:10" s="314" customFormat="1" ht="14.25" customHeight="1">
      <c r="A16" s="694">
        <v>2</v>
      </c>
      <c r="B16" s="310" t="str">
        <f ca="1">OFFSET('Регистрация ОТ'!$AB$11,ROW()/2-6,0)</f>
        <v>ПАНЬКОВА</v>
      </c>
      <c r="C16" s="537" t="str">
        <f ca="1">OFFSET('Регистрация ОТ'!$AC$11,ROW()/2-6,0)</f>
        <v>Я.О.</v>
      </c>
      <c r="D16" s="311" t="str">
        <f ca="1">OFFSET('Регистрация ОТ'!$H$11,ROW()/2-6,0)</f>
        <v>Екатеринбург</v>
      </c>
      <c r="E16" s="339"/>
      <c r="F16" s="321"/>
      <c r="G16" s="322">
        <f ca="1">OFFSET('Регистрация ОТ'!$D$11,ROW()/2-6,0)</f>
        <v>13</v>
      </c>
      <c r="H16" s="690">
        <f>G16+G17</f>
        <v>59</v>
      </c>
      <c r="I16" s="685"/>
      <c r="J16" s="679">
        <f ca="1">OFFSET('Регистрация ОТ'!$T$11,ROW()/2-6,0)</f>
        <v>0</v>
      </c>
    </row>
    <row r="17" spans="1:10" s="318" customFormat="1" ht="14.25" customHeight="1">
      <c r="A17" s="694"/>
      <c r="B17" s="507" t="str">
        <f ca="1">OFFSET('Регистрация ОТ'!$AO$11,ROW()/2-6,0)</f>
        <v>ТАРАНОВА</v>
      </c>
      <c r="C17" s="539" t="str">
        <f ca="1">OFFSET('Регистрация ОТ'!$AP$11,ROW()/2-6,0)</f>
        <v>В.А.</v>
      </c>
      <c r="D17" s="508" t="str">
        <f ca="1">OFFSET('Регистрация ОТ'!$O$11,ROW()/2-6,0)</f>
        <v>Екатеринбург</v>
      </c>
      <c r="E17" s="338"/>
      <c r="F17" s="324"/>
      <c r="G17" s="325">
        <f ca="1">OFFSET('Регистрация ОТ'!$K$11,ROW()/2-6,0)</f>
        <v>46</v>
      </c>
      <c r="H17" s="691"/>
      <c r="I17" s="685"/>
      <c r="J17" s="679"/>
    </row>
    <row r="18" spans="1:10" s="314" customFormat="1" ht="14.25" customHeight="1">
      <c r="A18" s="694">
        <v>3</v>
      </c>
      <c r="B18" s="310" t="str">
        <f ca="1">OFFSET('Регистрация ОТ'!$AB$11,ROW()/2-6,0)</f>
        <v>КОПТЕВА</v>
      </c>
      <c r="C18" s="537" t="str">
        <f ca="1">OFFSET('Регистрация ОТ'!$AC$11,ROW()/2-6,0)</f>
        <v>Д.А.</v>
      </c>
      <c r="D18" s="311" t="str">
        <f ca="1">OFFSET('Регистрация ОТ'!$H$11,ROW()/2-6,0)</f>
        <v>Челябинск</v>
      </c>
      <c r="E18" s="339"/>
      <c r="F18" s="321"/>
      <c r="G18" s="322">
        <f ca="1">OFFSET('Регистрация ОТ'!$D$11,ROW()/2-6,0)</f>
        <v>12</v>
      </c>
      <c r="H18" s="690">
        <f>G18+G19</f>
        <v>50</v>
      </c>
      <c r="I18" s="685"/>
      <c r="J18" s="679">
        <f ca="1">OFFSET('Регистрация ОТ'!$T$11,ROW()/2-6,0)</f>
        <v>0</v>
      </c>
    </row>
    <row r="19" spans="1:10" s="318" customFormat="1" ht="14.25" customHeight="1">
      <c r="A19" s="694"/>
      <c r="B19" s="507" t="str">
        <f ca="1">OFFSET('Регистрация ОТ'!$AO$11,ROW()/2-6,0)</f>
        <v>САФРОНОВА</v>
      </c>
      <c r="C19" s="538" t="str">
        <f ca="1">OFFSET('Регистрация ОТ'!$AP$11,ROW()/2-6,0)</f>
        <v>П.С.</v>
      </c>
      <c r="D19" s="508" t="str">
        <f ca="1">OFFSET('Регистрация ОТ'!$O$11,ROW()/2-6,0)</f>
        <v>Челябинск</v>
      </c>
      <c r="E19" s="338"/>
      <c r="F19" s="324"/>
      <c r="G19" s="325">
        <f ca="1">OFFSET('Регистрация ОТ'!$K$11,ROW()/2-6,0)</f>
        <v>38</v>
      </c>
      <c r="H19" s="691"/>
      <c r="I19" s="685"/>
      <c r="J19" s="679"/>
    </row>
    <row r="20" spans="1:10" s="314" customFormat="1" ht="14.25" customHeight="1">
      <c r="A20" s="694">
        <v>4</v>
      </c>
      <c r="B20" s="310" t="str">
        <f ca="1">OFFSET('Регистрация ОТ'!$AB$11,ROW()/2-6,0)</f>
        <v>ЗАБАРЧУК</v>
      </c>
      <c r="C20" s="537" t="str">
        <f ca="1">OFFSET('Регистрация ОТ'!$AC$11,ROW()/2-6,0)</f>
        <v>Е.А.</v>
      </c>
      <c r="D20" s="311" t="str">
        <f ca="1">OFFSET('Регистрация ОТ'!$H$11,ROW()/2-6,0)</f>
        <v>Екатеринбург</v>
      </c>
      <c r="E20" s="339"/>
      <c r="F20" s="321"/>
      <c r="G20" s="322">
        <f ca="1">OFFSET('Регистрация ОТ'!$D$11,ROW()/2-6,0)</f>
        <v>12</v>
      </c>
      <c r="H20" s="690">
        <f>G20+G21</f>
        <v>41</v>
      </c>
      <c r="I20" s="685"/>
      <c r="J20" s="679">
        <f ca="1">OFFSET('Регистрация ОТ'!$T$11,ROW()/2-6,0)</f>
        <v>0</v>
      </c>
    </row>
    <row r="21" spans="1:10" s="318" customFormat="1" ht="14.25" customHeight="1">
      <c r="A21" s="694"/>
      <c r="B21" s="507" t="str">
        <f ca="1">OFFSET('Регистрация ОТ'!$AO$11,ROW()/2-6,0)</f>
        <v>ИВАНОВСКАЯ</v>
      </c>
      <c r="C21" s="538" t="str">
        <f ca="1">OFFSET('Регистрация ОТ'!$AP$11,ROW()/2-6,0)</f>
        <v>В.Д.</v>
      </c>
      <c r="D21" s="508" t="str">
        <f ca="1">OFFSET('Регистрация ОТ'!$O$11,ROW()/2-6,0)</f>
        <v>Екатеринбург</v>
      </c>
      <c r="E21" s="338"/>
      <c r="F21" s="324"/>
      <c r="G21" s="325">
        <f ca="1">OFFSET('Регистрация ОТ'!$K$11,ROW()/2-6,0)</f>
        <v>29</v>
      </c>
      <c r="H21" s="691"/>
      <c r="I21" s="685"/>
      <c r="J21" s="679"/>
    </row>
    <row r="22" spans="1:10" s="314" customFormat="1" ht="14.25" customHeight="1">
      <c r="A22" s="694">
        <v>5</v>
      </c>
      <c r="B22" s="310" t="str">
        <f ca="1">OFFSET('Регистрация ОТ'!$AB$11,ROW()/2-6,0)</f>
        <v>АСФАНДИЯРОВА</v>
      </c>
      <c r="C22" s="537" t="str">
        <f ca="1">OFFSET('Регистрация ОТ'!$AC$11,ROW()/2-6,0)</f>
        <v>К.И.</v>
      </c>
      <c r="D22" s="311" t="str">
        <f ca="1">OFFSET('Регистрация ОТ'!$H$11,ROW()/2-6,0)</f>
        <v>Екатеринбург</v>
      </c>
      <c r="E22" s="339"/>
      <c r="F22" s="321"/>
      <c r="G22" s="322">
        <f ca="1">OFFSET('Регистрация ОТ'!$D$11,ROW()/2-6,0)</f>
        <v>16</v>
      </c>
      <c r="H22" s="690">
        <f>G22+G23</f>
        <v>19</v>
      </c>
      <c r="I22" s="685"/>
      <c r="J22" s="679">
        <f ca="1">OFFSET('Регистрация ОТ'!$T$11,ROW()/2-6,0)</f>
        <v>0</v>
      </c>
    </row>
    <row r="23" spans="1:10" s="318" customFormat="1" ht="14.25" customHeight="1">
      <c r="A23" s="694"/>
      <c r="B23" s="507" t="str">
        <f ca="1">OFFSET('Регистрация ОТ'!$AO$11,ROW()/2-6,0)</f>
        <v>ГОРЯИНОВА</v>
      </c>
      <c r="C23" s="538" t="str">
        <f ca="1">OFFSET('Регистрация ОТ'!$AP$11,ROW()/2-6,0)</f>
        <v>Е.Д.</v>
      </c>
      <c r="D23" s="508" t="str">
        <f ca="1">OFFSET('Регистрация ОТ'!$O$11,ROW()/2-6,0)</f>
        <v>Екатеринбург</v>
      </c>
      <c r="E23" s="338"/>
      <c r="F23" s="324"/>
      <c r="G23" s="325">
        <f ca="1">OFFSET('Регистрация ОТ'!$K$11,ROW()/2-6,0)</f>
        <v>3</v>
      </c>
      <c r="H23" s="691"/>
      <c r="I23" s="685"/>
      <c r="J23" s="679"/>
    </row>
    <row r="24" spans="1:10" s="314" customFormat="1" ht="14.25" customHeight="1">
      <c r="A24" s="694">
        <v>6</v>
      </c>
      <c r="B24" s="310" t="str">
        <f ca="1">OFFSET('Регистрация ОТ'!$AB$11,ROW()/2-6,0)</f>
        <v>НЕСВЕТАЕВА</v>
      </c>
      <c r="C24" s="537" t="str">
        <f ca="1">OFFSET('Регистрация ОТ'!$AC$11,ROW()/2-6,0)</f>
        <v>М.Д.</v>
      </c>
      <c r="D24" s="311" t="str">
        <f ca="1">OFFSET('Регистрация ОТ'!$H$11,ROW()/2-6,0)</f>
        <v>Челябинск</v>
      </c>
      <c r="E24" s="339"/>
      <c r="F24" s="321"/>
      <c r="G24" s="322">
        <f ca="1">OFFSET('Регистрация ОТ'!$D$11,ROW()/2-6,0)</f>
        <v>5</v>
      </c>
      <c r="H24" s="690">
        <f>G24+G25</f>
        <v>5</v>
      </c>
      <c r="I24" s="685"/>
      <c r="J24" s="679">
        <f ca="1">OFFSET('Регистрация ОТ'!$T$11,ROW()/2-6,0)</f>
        <v>0</v>
      </c>
    </row>
    <row r="25" spans="1:10" s="318" customFormat="1" ht="14.25" customHeight="1">
      <c r="A25" s="694"/>
      <c r="B25" s="507" t="str">
        <f ca="1">OFFSET('Регистрация ОТ'!$AO$11,ROW()/2-6,0)</f>
        <v>ПЕРВУХИНА</v>
      </c>
      <c r="C25" s="538" t="str">
        <f ca="1">OFFSET('Регистрация ОТ'!$AP$11,ROW()/2-6,0)</f>
        <v>С.А.</v>
      </c>
      <c r="D25" s="508" t="str">
        <f ca="1">OFFSET('Регистрация ОТ'!$O$11,ROW()/2-6,0)</f>
        <v>Челябинск</v>
      </c>
      <c r="E25" s="338"/>
      <c r="F25" s="324"/>
      <c r="G25" s="325">
        <f ca="1">OFFSET('Регистрация ОТ'!$K$11,ROW()/2-6,0)</f>
        <v>0</v>
      </c>
      <c r="H25" s="691"/>
      <c r="I25" s="685"/>
      <c r="J25" s="679"/>
    </row>
    <row r="26" spans="1:10" s="314" customFormat="1" ht="14.25" customHeight="1">
      <c r="A26" s="694">
        <v>7</v>
      </c>
      <c r="B26" s="310">
        <f ca="1">OFFSET('Регистрация ОТ'!$AB$11,ROW()/2-6,0)</f>
      </c>
      <c r="C26" s="537">
        <f ca="1">OFFSET('Регистрация ОТ'!$AC$11,ROW()/2-6,0)</f>
      </c>
      <c r="D26" s="311">
        <f ca="1">OFFSET('Регистрация ОТ'!$H$11,ROW()/2-6,0)</f>
        <v>0</v>
      </c>
      <c r="E26" s="339"/>
      <c r="F26" s="321"/>
      <c r="G26" s="322">
        <f ca="1">OFFSET('Регистрация ОТ'!$D$11,ROW()/2-6,0)</f>
        <v>0</v>
      </c>
      <c r="H26" s="690">
        <f>G26+G27</f>
        <v>0</v>
      </c>
      <c r="I26" s="685"/>
      <c r="J26" s="679">
        <f ca="1">OFFSET('Регистрация ОТ'!$T$11,ROW()/2-6,0)</f>
        <v>0</v>
      </c>
    </row>
    <row r="27" spans="1:10" s="318" customFormat="1" ht="14.25" customHeight="1">
      <c r="A27" s="694"/>
      <c r="B27" s="507">
        <f ca="1">OFFSET('Регистрация ОТ'!$AO$11,ROW()/2-6,0)</f>
      </c>
      <c r="C27" s="538">
        <f ca="1">OFFSET('Регистрация ОТ'!$AP$11,ROW()/2-6,0)</f>
      </c>
      <c r="D27" s="508">
        <f ca="1">OFFSET('Регистрация ОТ'!$O$11,ROW()/2-6,0)</f>
        <v>0</v>
      </c>
      <c r="E27" s="338"/>
      <c r="F27" s="324"/>
      <c r="G27" s="325">
        <f ca="1">OFFSET('Регистрация ОТ'!$K$11,ROW()/2-6,0)</f>
        <v>0</v>
      </c>
      <c r="H27" s="691"/>
      <c r="I27" s="685"/>
      <c r="J27" s="679"/>
    </row>
    <row r="28" spans="1:10" s="314" customFormat="1" ht="14.25" customHeight="1" hidden="1">
      <c r="A28" s="694">
        <v>8</v>
      </c>
      <c r="B28" s="310">
        <f ca="1">OFFSET('Регистрация ОТ'!$AB$11,ROW()/2-6,0)</f>
      </c>
      <c r="C28" s="537">
        <f ca="1">OFFSET('Регистрация ОТ'!$AC$11,ROW()/2-6,0)</f>
      </c>
      <c r="D28" s="311">
        <f ca="1">OFFSET('Регистрация ОТ'!$H$11,ROW()/2-6,0)</f>
        <v>0</v>
      </c>
      <c r="E28" s="339"/>
      <c r="F28" s="321"/>
      <c r="G28" s="322">
        <f ca="1">OFFSET('Регистрация ОТ'!$D$11,ROW()/2-6,0)</f>
        <v>0</v>
      </c>
      <c r="H28" s="690">
        <f>G28+G29</f>
        <v>0</v>
      </c>
      <c r="I28" s="685"/>
      <c r="J28" s="679">
        <f ca="1">OFFSET('Регистрация ОТ'!$T$11,ROW()/2-6,0)</f>
        <v>0</v>
      </c>
    </row>
    <row r="29" spans="1:10" s="318" customFormat="1" ht="14.25" customHeight="1" hidden="1">
      <c r="A29" s="694"/>
      <c r="B29" s="507">
        <f ca="1">OFFSET('Регистрация ОТ'!$AO$11,ROW()/2-6,0)</f>
      </c>
      <c r="C29" s="538">
        <f ca="1">OFFSET('Регистрация ОТ'!$AP$11,ROW()/2-6,0)</f>
      </c>
      <c r="D29" s="508">
        <f ca="1">OFFSET('Регистрация ОТ'!$O$11,ROW()/2-6,0)</f>
        <v>0</v>
      </c>
      <c r="E29" s="338"/>
      <c r="F29" s="324"/>
      <c r="G29" s="325">
        <f ca="1">OFFSET('Регистрация ОТ'!$K$11,ROW()/2-6,0)</f>
        <v>0</v>
      </c>
      <c r="H29" s="691"/>
      <c r="I29" s="685"/>
      <c r="J29" s="679"/>
    </row>
    <row r="30" spans="1:10" s="314" customFormat="1" ht="14.25" customHeight="1" hidden="1">
      <c r="A30" s="694">
        <v>9</v>
      </c>
      <c r="B30" s="310">
        <f ca="1">OFFSET('Регистрация ОТ'!$AB$11,ROW()/2-6,0)</f>
      </c>
      <c r="C30" s="537">
        <f ca="1">OFFSET('Регистрация ОТ'!$AC$11,ROW()/2-6,0)</f>
      </c>
      <c r="D30" s="311">
        <f ca="1">OFFSET('Регистрация ОТ'!$H$11,ROW()/2-6,0)</f>
        <v>0</v>
      </c>
      <c r="E30" s="339"/>
      <c r="F30" s="321"/>
      <c r="G30" s="322">
        <f ca="1">OFFSET('Регистрация ОТ'!$D$11,ROW()/2-6,0)</f>
        <v>0</v>
      </c>
      <c r="H30" s="690">
        <f>G30+G31</f>
        <v>0</v>
      </c>
      <c r="I30" s="685"/>
      <c r="J30" s="679">
        <f ca="1">OFFSET('Регистрация ОТ'!$T$11,ROW()/2-6,0)</f>
        <v>0</v>
      </c>
    </row>
    <row r="31" spans="1:10" s="318" customFormat="1" ht="14.25" customHeight="1" hidden="1">
      <c r="A31" s="694"/>
      <c r="B31" s="507">
        <f ca="1">OFFSET('Регистрация ОТ'!$AO$11,ROW()/2-6,0)</f>
      </c>
      <c r="C31" s="538">
        <f ca="1">OFFSET('Регистрация ОТ'!$AP$11,ROW()/2-6,0)</f>
      </c>
      <c r="D31" s="508">
        <f ca="1">OFFSET('Регистрация ОТ'!$O$11,ROW()/2-6,0)</f>
        <v>0</v>
      </c>
      <c r="E31" s="338"/>
      <c r="F31" s="324"/>
      <c r="G31" s="325">
        <f ca="1">OFFSET('Регистрация ОТ'!$K$11,ROW()/2-6,0)</f>
        <v>0</v>
      </c>
      <c r="H31" s="691"/>
      <c r="I31" s="685"/>
      <c r="J31" s="679"/>
    </row>
    <row r="32" spans="1:10" s="314" customFormat="1" ht="14.25" customHeight="1" hidden="1">
      <c r="A32" s="694">
        <v>10</v>
      </c>
      <c r="B32" s="310">
        <f ca="1">OFFSET('Регистрация ОТ'!$AB$11,ROW()/2-6,0)</f>
      </c>
      <c r="C32" s="537">
        <f ca="1">OFFSET('Регистрация ОТ'!$AC$11,ROW()/2-6,0)</f>
      </c>
      <c r="D32" s="311">
        <f ca="1">OFFSET('Регистрация ОТ'!$H$11,ROW()/2-6,0)</f>
        <v>0</v>
      </c>
      <c r="E32" s="339"/>
      <c r="F32" s="321"/>
      <c r="G32" s="322">
        <f ca="1">OFFSET('Регистрация ОТ'!$D$11,ROW()/2-6,0)</f>
        <v>0</v>
      </c>
      <c r="H32" s="690">
        <f>G32+G33</f>
        <v>0</v>
      </c>
      <c r="I32" s="685"/>
      <c r="J32" s="679">
        <f ca="1">OFFSET('Регистрация ОТ'!$T$11,ROW()/2-6,0)</f>
        <v>0</v>
      </c>
    </row>
    <row r="33" spans="1:10" s="318" customFormat="1" ht="14.25" customHeight="1" hidden="1">
      <c r="A33" s="694"/>
      <c r="B33" s="507">
        <f ca="1">OFFSET('Регистрация ОТ'!$AO$11,ROW()/2-6,0)</f>
      </c>
      <c r="C33" s="538">
        <f ca="1">OFFSET('Регистрация ОТ'!$AP$11,ROW()/2-6,0)</f>
      </c>
      <c r="D33" s="508">
        <f ca="1">OFFSET('Регистрация ОТ'!$O$11,ROW()/2-6,0)</f>
        <v>0</v>
      </c>
      <c r="E33" s="338"/>
      <c r="F33" s="324"/>
      <c r="G33" s="325">
        <f ca="1">OFFSET('Регистрация ОТ'!$K$11,ROW()/2-6,0)</f>
        <v>0</v>
      </c>
      <c r="H33" s="691"/>
      <c r="I33" s="685"/>
      <c r="J33" s="679"/>
    </row>
    <row r="34" spans="1:10" s="314" customFormat="1" ht="14.25" customHeight="1" hidden="1">
      <c r="A34" s="694">
        <v>11</v>
      </c>
      <c r="B34" s="310">
        <f ca="1">OFFSET('Регистрация ОТ'!$AB$11,ROW()/2-6,0)</f>
      </c>
      <c r="C34" s="537">
        <f ca="1">OFFSET('Регистрация ОТ'!$AC$11,ROW()/2-6,0)</f>
      </c>
      <c r="D34" s="311">
        <f ca="1">OFFSET('Регистрация ОТ'!$H$11,ROW()/2-6,0)</f>
        <v>0</v>
      </c>
      <c r="E34" s="339"/>
      <c r="F34" s="321"/>
      <c r="G34" s="322">
        <f ca="1">OFFSET('Регистрация ОТ'!$D$11,ROW()/2-6,0)</f>
        <v>0</v>
      </c>
      <c r="H34" s="690">
        <f>G34+G35</f>
        <v>0</v>
      </c>
      <c r="I34" s="685"/>
      <c r="J34" s="679">
        <f ca="1">OFFSET('Регистрация ОТ'!$T$11,ROW()/2-6,0)</f>
        <v>0</v>
      </c>
    </row>
    <row r="35" spans="1:10" s="318" customFormat="1" ht="14.25" customHeight="1" hidden="1">
      <c r="A35" s="694"/>
      <c r="B35" s="507">
        <f ca="1">OFFSET('Регистрация ОТ'!$AO$11,ROW()/2-6,0)</f>
      </c>
      <c r="C35" s="538">
        <f ca="1">OFFSET('Регистрация ОТ'!$AP$11,ROW()/2-6,0)</f>
      </c>
      <c r="D35" s="508">
        <f ca="1">OFFSET('Регистрация ОТ'!$O$11,ROW()/2-6,0)</f>
        <v>0</v>
      </c>
      <c r="E35" s="338"/>
      <c r="F35" s="324"/>
      <c r="G35" s="325">
        <f ca="1">OFFSET('Регистрация ОТ'!$K$11,ROW()/2-6,0)</f>
        <v>0</v>
      </c>
      <c r="H35" s="691"/>
      <c r="I35" s="685"/>
      <c r="J35" s="679"/>
    </row>
    <row r="36" spans="1:10" s="314" customFormat="1" ht="14.25" customHeight="1" hidden="1">
      <c r="A36" s="694">
        <v>12</v>
      </c>
      <c r="B36" s="310">
        <f ca="1">OFFSET('Регистрация ОТ'!$AB$11,ROW()/2-6,0)</f>
      </c>
      <c r="C36" s="537">
        <f ca="1">OFFSET('Регистрация ОТ'!$AC$11,ROW()/2-6,0)</f>
      </c>
      <c r="D36" s="311">
        <f ca="1">OFFSET('Регистрация ОТ'!$H$11,ROW()/2-6,0)</f>
        <v>0</v>
      </c>
      <c r="E36" s="339"/>
      <c r="F36" s="321"/>
      <c r="G36" s="322">
        <f ca="1">OFFSET('Регистрация ОТ'!$D$11,ROW()/2-6,0)</f>
        <v>0</v>
      </c>
      <c r="H36" s="690">
        <f>G36+G37</f>
        <v>0</v>
      </c>
      <c r="I36" s="685"/>
      <c r="J36" s="679">
        <f ca="1">OFFSET('Регистрация ОТ'!$T$11,ROW()/2-6,0)</f>
        <v>0</v>
      </c>
    </row>
    <row r="37" spans="1:10" s="318" customFormat="1" ht="14.25" customHeight="1" hidden="1">
      <c r="A37" s="694"/>
      <c r="B37" s="507">
        <f ca="1">OFFSET('Регистрация ОТ'!$AO$11,ROW()/2-6,0)</f>
      </c>
      <c r="C37" s="538">
        <f ca="1">OFFSET('Регистрация ОТ'!$AP$11,ROW()/2-6,0)</f>
      </c>
      <c r="D37" s="508">
        <f ca="1">OFFSET('Регистрация ОТ'!$O$11,ROW()/2-6,0)</f>
        <v>0</v>
      </c>
      <c r="E37" s="338"/>
      <c r="F37" s="324"/>
      <c r="G37" s="325">
        <f ca="1">OFFSET('Регистрация ОТ'!$K$11,ROW()/2-6,0)</f>
        <v>0</v>
      </c>
      <c r="H37" s="691"/>
      <c r="I37" s="685"/>
      <c r="J37" s="679"/>
    </row>
    <row r="38" spans="1:10" s="314" customFormat="1" ht="14.25" customHeight="1" hidden="1">
      <c r="A38" s="694">
        <v>13</v>
      </c>
      <c r="B38" s="310">
        <f ca="1">OFFSET('Регистрация ОТ'!$AB$11,ROW()/2-6,0)</f>
      </c>
      <c r="C38" s="537">
        <f ca="1">OFFSET('Регистрация ОТ'!$AC$11,ROW()/2-6,0)</f>
      </c>
      <c r="D38" s="311">
        <f ca="1">OFFSET('Регистрация ОТ'!$H$11,ROW()/2-6,0)</f>
        <v>0</v>
      </c>
      <c r="E38" s="340"/>
      <c r="F38" s="321"/>
      <c r="G38" s="322">
        <f ca="1">OFFSET('Регистрация ОТ'!$D$11,ROW()/2-6,0)</f>
        <v>0</v>
      </c>
      <c r="H38" s="690">
        <f>G38+G39</f>
        <v>0</v>
      </c>
      <c r="I38" s="685"/>
      <c r="J38" s="679">
        <f ca="1">OFFSET('Регистрация ОТ'!$T$11,ROW()/2-6,0)</f>
        <v>0</v>
      </c>
    </row>
    <row r="39" spans="1:10" s="318" customFormat="1" ht="14.25" customHeight="1" hidden="1">
      <c r="A39" s="694"/>
      <c r="B39" s="507">
        <f ca="1">OFFSET('Регистрация ОТ'!$AO$11,ROW()/2-6,0)</f>
      </c>
      <c r="C39" s="538">
        <f ca="1">OFFSET('Регистрация ОТ'!$AP$11,ROW()/2-6,0)</f>
      </c>
      <c r="D39" s="508">
        <f ca="1">OFFSET('Регистрация ОТ'!$O$11,ROW()/2-6,0)</f>
        <v>0</v>
      </c>
      <c r="E39" s="338"/>
      <c r="F39" s="324"/>
      <c r="G39" s="325">
        <f ca="1">OFFSET('Регистрация ОТ'!$K$11,ROW()/2-6,0)</f>
        <v>0</v>
      </c>
      <c r="H39" s="691"/>
      <c r="I39" s="685"/>
      <c r="J39" s="679"/>
    </row>
    <row r="40" spans="1:10" s="314" customFormat="1" ht="14.25" customHeight="1" hidden="1">
      <c r="A40" s="694">
        <v>14</v>
      </c>
      <c r="B40" s="310">
        <f ca="1">OFFSET('Регистрация ОТ'!$AB$11,ROW()/2-6,0)</f>
      </c>
      <c r="C40" s="537">
        <f ca="1">OFFSET('Регистрация ОТ'!$AC$11,ROW()/2-6,0)</f>
      </c>
      <c r="D40" s="311">
        <f ca="1">OFFSET('Регистрация ОТ'!$H$11,ROW()/2-6,0)</f>
        <v>0</v>
      </c>
      <c r="E40" s="340"/>
      <c r="F40" s="321"/>
      <c r="G40" s="322">
        <f ca="1">OFFSET('Регистрация ОТ'!$D$11,ROW()/2-6,0)</f>
        <v>0</v>
      </c>
      <c r="H40" s="690">
        <f>G40+G41</f>
        <v>0</v>
      </c>
      <c r="I40" s="685"/>
      <c r="J40" s="679">
        <f ca="1">OFFSET('Регистрация ОТ'!$T$11,ROW()/2-6,0)</f>
        <v>0</v>
      </c>
    </row>
    <row r="41" spans="1:10" s="318" customFormat="1" ht="14.25" customHeight="1" hidden="1">
      <c r="A41" s="694"/>
      <c r="B41" s="507">
        <f ca="1">OFFSET('Регистрация ОТ'!$AO$11,ROW()/2-6,0)</f>
      </c>
      <c r="C41" s="538">
        <f ca="1">OFFSET('Регистрация ОТ'!$AP$11,ROW()/2-6,0)</f>
      </c>
      <c r="D41" s="508">
        <f ca="1">OFFSET('Регистрация ОТ'!$O$11,ROW()/2-6,0)</f>
        <v>0</v>
      </c>
      <c r="E41" s="338"/>
      <c r="F41" s="324"/>
      <c r="G41" s="325">
        <f ca="1">OFFSET('Регистрация ОТ'!$K$11,ROW()/2-6,0)</f>
        <v>0</v>
      </c>
      <c r="H41" s="691"/>
      <c r="I41" s="685"/>
      <c r="J41" s="679"/>
    </row>
    <row r="42" spans="1:10" s="314" customFormat="1" ht="14.25" customHeight="1" hidden="1">
      <c r="A42" s="694">
        <v>15</v>
      </c>
      <c r="B42" s="310">
        <f ca="1">OFFSET('Регистрация ОТ'!$AB$11,ROW()/2-6,0)</f>
      </c>
      <c r="C42" s="537">
        <f ca="1">OFFSET('Регистрация ОТ'!$AC$11,ROW()/2-6,0)</f>
      </c>
      <c r="D42" s="311">
        <f ca="1">OFFSET('Регистрация ОТ'!$H$11,ROW()/2-6,0)</f>
        <v>0</v>
      </c>
      <c r="E42" s="340"/>
      <c r="F42" s="321"/>
      <c r="G42" s="322">
        <f ca="1">OFFSET('Регистрация ОТ'!$D$11,ROW()/2-6,0)</f>
        <v>0</v>
      </c>
      <c r="H42" s="690">
        <f>G42+G43</f>
        <v>0</v>
      </c>
      <c r="I42" s="685"/>
      <c r="J42" s="679">
        <f ca="1">OFFSET('Регистрация ОТ'!$T$11,ROW()/2-6,0)</f>
        <v>0</v>
      </c>
    </row>
    <row r="43" spans="1:10" s="318" customFormat="1" ht="14.25" customHeight="1" hidden="1">
      <c r="A43" s="694"/>
      <c r="B43" s="507">
        <f ca="1">OFFSET('Регистрация ОТ'!$AO$11,ROW()/2-6,0)</f>
      </c>
      <c r="C43" s="538">
        <f ca="1">OFFSET('Регистрация ОТ'!$AP$11,ROW()/2-6,0)</f>
      </c>
      <c r="D43" s="508">
        <f ca="1">OFFSET('Регистрация ОТ'!$O$11,ROW()/2-6,0)</f>
        <v>0</v>
      </c>
      <c r="E43" s="338"/>
      <c r="F43" s="324"/>
      <c r="G43" s="325">
        <f ca="1">OFFSET('Регистрация ОТ'!$K$11,ROW()/2-6,0)</f>
        <v>0</v>
      </c>
      <c r="H43" s="691"/>
      <c r="I43" s="685"/>
      <c r="J43" s="679"/>
    </row>
    <row r="44" spans="1:10" s="314" customFormat="1" ht="14.25" customHeight="1" hidden="1">
      <c r="A44" s="694">
        <v>16</v>
      </c>
      <c r="B44" s="310">
        <f ca="1">OFFSET('Регистрация ОТ'!$AB$11,ROW()/2-6,0)</f>
      </c>
      <c r="C44" s="537">
        <f ca="1">OFFSET('Регистрация ОТ'!$AC$11,ROW()/2-6,0)</f>
      </c>
      <c r="D44" s="311">
        <f ca="1">OFFSET('Регистрация ОТ'!$H$11,ROW()/2-6,0)</f>
        <v>0</v>
      </c>
      <c r="E44" s="340"/>
      <c r="F44" s="321"/>
      <c r="G44" s="322">
        <f ca="1">OFFSET('Регистрация ОТ'!$D$11,ROW()/2-6,0)</f>
        <v>0</v>
      </c>
      <c r="H44" s="690">
        <f>G44+G45</f>
        <v>0</v>
      </c>
      <c r="I44" s="685"/>
      <c r="J44" s="679">
        <f ca="1">OFFSET('Регистрация ОТ'!$T$11,ROW()/2-6,0)</f>
        <v>0</v>
      </c>
    </row>
    <row r="45" spans="1:10" s="318" customFormat="1" ht="14.25" customHeight="1" hidden="1">
      <c r="A45" s="694"/>
      <c r="B45" s="507">
        <f ca="1">OFFSET('Регистрация ОТ'!$AO$11,ROW()/2-6,0)</f>
      </c>
      <c r="C45" s="538">
        <f ca="1">OFFSET('Регистрация ОТ'!$AP$11,ROW()/2-6,0)</f>
      </c>
      <c r="D45" s="508">
        <f ca="1">OFFSET('Регистрация ОТ'!$O$11,ROW()/2-6,0)</f>
        <v>0</v>
      </c>
      <c r="E45" s="338"/>
      <c r="F45" s="324"/>
      <c r="G45" s="325">
        <f ca="1">OFFSET('Регистрация ОТ'!$K$11,ROW()/2-6,0)</f>
        <v>0</v>
      </c>
      <c r="H45" s="691"/>
      <c r="I45" s="685"/>
      <c r="J45" s="679"/>
    </row>
    <row r="46" spans="1:10" s="314" customFormat="1" ht="14.25" customHeight="1" hidden="1">
      <c r="A46" s="694">
        <v>17</v>
      </c>
      <c r="B46" s="310">
        <f ca="1">OFFSET('Регистрация ОТ'!$AB$11,ROW()/2-6,0)</f>
      </c>
      <c r="C46" s="537">
        <f ca="1">OFFSET('Регистрация ОТ'!$AC$11,ROW()/2-6,0)</f>
      </c>
      <c r="D46" s="311">
        <f ca="1">OFFSET('Регистрация ОТ'!$H$11,ROW()/2-6,0)</f>
        <v>0</v>
      </c>
      <c r="E46" s="340"/>
      <c r="F46" s="321"/>
      <c r="G46" s="322">
        <f ca="1">OFFSET('Регистрация ОТ'!$D$11,ROW()/2-6,0)</f>
        <v>0</v>
      </c>
      <c r="H46" s="690">
        <f>G46+G47</f>
        <v>0</v>
      </c>
      <c r="I46" s="685"/>
      <c r="J46" s="679">
        <f ca="1">OFFSET('Регистрация ОТ'!$T$11,ROW()/2-6,0)</f>
        <v>0</v>
      </c>
    </row>
    <row r="47" spans="1:10" s="318" customFormat="1" ht="14.25" customHeight="1" hidden="1">
      <c r="A47" s="694"/>
      <c r="B47" s="507">
        <f ca="1">OFFSET('Регистрация ОТ'!$AO$11,ROW()/2-6,0)</f>
      </c>
      <c r="C47" s="538">
        <f ca="1">OFFSET('Регистрация ОТ'!$AP$11,ROW()/2-6,0)</f>
      </c>
      <c r="D47" s="508">
        <f ca="1">OFFSET('Регистрация ОТ'!$O$11,ROW()/2-6,0)</f>
        <v>0</v>
      </c>
      <c r="E47" s="338"/>
      <c r="F47" s="324"/>
      <c r="G47" s="325">
        <f ca="1">OFFSET('Регистрация ОТ'!$K$11,ROW()/2-6,0)</f>
        <v>0</v>
      </c>
      <c r="H47" s="691"/>
      <c r="I47" s="685"/>
      <c r="J47" s="679"/>
    </row>
    <row r="48" spans="1:10" s="314" customFormat="1" ht="14.25" customHeight="1" hidden="1">
      <c r="A48" s="694">
        <v>18</v>
      </c>
      <c r="B48" s="319">
        <f ca="1">OFFSET('Регистрация ОТ'!$AB$11,ROW()/2-6,0)</f>
      </c>
      <c r="C48" s="540">
        <f ca="1">OFFSET('Регистрация ОТ'!$AC$11,ROW()/2-6,0)</f>
      </c>
      <c r="D48" s="326">
        <f ca="1">OFFSET('Регистрация ОТ'!$H$11,ROW()/2-6,0)</f>
        <v>0</v>
      </c>
      <c r="E48" s="340"/>
      <c r="F48" s="321"/>
      <c r="G48" s="322">
        <f ca="1">OFFSET('Регистрация ОТ'!$D$11,ROW()/2-6,0)</f>
        <v>0</v>
      </c>
      <c r="H48" s="690">
        <f>G48+G49</f>
        <v>0</v>
      </c>
      <c r="I48" s="685"/>
      <c r="J48" s="679">
        <f ca="1">OFFSET('Регистрация ОТ'!$T$11,ROW()/2-6,0)</f>
        <v>0</v>
      </c>
    </row>
    <row r="49" spans="1:10" s="318" customFormat="1" ht="14.25" customHeight="1" hidden="1">
      <c r="A49" s="694"/>
      <c r="B49" s="509">
        <f ca="1">OFFSET('Регистрация ОТ'!$AO$11,ROW()/2-6,0)</f>
      </c>
      <c r="C49" s="541">
        <f ca="1">OFFSET('Регистрация ОТ'!$AP$11,ROW()/2-6,0)</f>
      </c>
      <c r="D49" s="510">
        <f ca="1">OFFSET('Регистрация ОТ'!$O$11,ROW()/2-6,0)</f>
        <v>0</v>
      </c>
      <c r="E49" s="338"/>
      <c r="F49" s="324"/>
      <c r="G49" s="325">
        <f ca="1">OFFSET('Регистрация ОТ'!$K$11,ROW()/2-6,0)</f>
        <v>0</v>
      </c>
      <c r="H49" s="691"/>
      <c r="I49" s="685"/>
      <c r="J49" s="679"/>
    </row>
    <row r="50" spans="1:10" s="314" customFormat="1" ht="14.25" customHeight="1" hidden="1">
      <c r="A50" s="694">
        <v>19</v>
      </c>
      <c r="B50" s="310">
        <f ca="1">OFFSET('Регистрация ОТ'!$AB$11,ROW()/2-6,0)</f>
      </c>
      <c r="C50" s="537">
        <f ca="1">OFFSET('Регистрация ОТ'!$AC$11,ROW()/2-6,0)</f>
      </c>
      <c r="D50" s="311">
        <f ca="1">OFFSET('Регистрация ОТ'!$H$11,ROW()/2-6,0)</f>
        <v>0</v>
      </c>
      <c r="E50" s="340"/>
      <c r="F50" s="321"/>
      <c r="G50" s="322">
        <f ca="1">OFFSET('Регистрация ОТ'!$D$11,ROW()/2-6,0)</f>
        <v>0</v>
      </c>
      <c r="H50" s="690">
        <f>G50+G51</f>
        <v>0</v>
      </c>
      <c r="I50" s="685"/>
      <c r="J50" s="679">
        <f ca="1">OFFSET('Регистрация ОТ'!$T$11,ROW()/2-6,0)</f>
        <v>0</v>
      </c>
    </row>
    <row r="51" spans="1:10" s="318" customFormat="1" ht="14.25" customHeight="1" hidden="1">
      <c r="A51" s="694"/>
      <c r="B51" s="507">
        <f ca="1">OFFSET('Регистрация ОТ'!$AO$11,ROW()/2-6,0)</f>
      </c>
      <c r="C51" s="538">
        <f ca="1">OFFSET('Регистрация ОТ'!$AP$11,ROW()/2-6,0)</f>
      </c>
      <c r="D51" s="508">
        <f ca="1">OFFSET('Регистрация ОТ'!$O$11,ROW()/2-6,0)</f>
        <v>0</v>
      </c>
      <c r="E51" s="338"/>
      <c r="F51" s="324"/>
      <c r="G51" s="325">
        <f ca="1">OFFSET('Регистрация ОТ'!$K$11,ROW()/2-6,0)</f>
        <v>0</v>
      </c>
      <c r="H51" s="691"/>
      <c r="I51" s="685"/>
      <c r="J51" s="679"/>
    </row>
    <row r="52" spans="1:10" s="314" customFormat="1" ht="14.25" customHeight="1" hidden="1">
      <c r="A52" s="694">
        <v>20</v>
      </c>
      <c r="B52" s="310">
        <f ca="1">OFFSET('Регистрация ОТ'!$AB$11,ROW()/2-6,0)</f>
      </c>
      <c r="C52" s="537">
        <f ca="1">OFFSET('Регистрация ОТ'!$AC$11,ROW()/2-6,0)</f>
      </c>
      <c r="D52" s="311">
        <f ca="1">OFFSET('Регистрация ОТ'!$H$11,ROW()/2-6,0)</f>
        <v>0</v>
      </c>
      <c r="E52" s="340"/>
      <c r="F52" s="321"/>
      <c r="G52" s="322">
        <f ca="1">OFFSET('Регистрация ОТ'!$D$11,ROW()/2-6,0)</f>
        <v>0</v>
      </c>
      <c r="H52" s="690">
        <f>G52+G53</f>
        <v>0</v>
      </c>
      <c r="I52" s="685"/>
      <c r="J52" s="679">
        <f ca="1">OFFSET('Регистрация ОТ'!$T$11,ROW()/2-6,0)</f>
        <v>0</v>
      </c>
    </row>
    <row r="53" spans="1:10" s="318" customFormat="1" ht="14.25" customHeight="1" hidden="1">
      <c r="A53" s="694"/>
      <c r="B53" s="507">
        <f ca="1">OFFSET('Регистрация ОТ'!$AO$11,ROW()/2-6,0)</f>
      </c>
      <c r="C53" s="538">
        <f ca="1">OFFSET('Регистрация ОТ'!$AP$11,ROW()/2-6,0)</f>
      </c>
      <c r="D53" s="508">
        <f ca="1">OFFSET('Регистрация ОТ'!$O$11,ROW()/2-6,0)</f>
        <v>0</v>
      </c>
      <c r="E53" s="338"/>
      <c r="F53" s="324"/>
      <c r="G53" s="325">
        <f ca="1">OFFSET('Регистрация ОТ'!$K$11,ROW()/2-6,0)</f>
        <v>0</v>
      </c>
      <c r="H53" s="691"/>
      <c r="I53" s="685"/>
      <c r="J53" s="679"/>
    </row>
    <row r="54" spans="1:10" s="314" customFormat="1" ht="14.25" customHeight="1" hidden="1">
      <c r="A54" s="694">
        <v>21</v>
      </c>
      <c r="B54" s="310">
        <f ca="1">OFFSET('Регистрация ОТ'!$AB$11,ROW()/2-6,0)</f>
      </c>
      <c r="C54" s="537">
        <f ca="1">OFFSET('Регистрация ОТ'!$AC$11,ROW()/2-6,0)</f>
      </c>
      <c r="D54" s="311">
        <f ca="1">OFFSET('Регистрация ОТ'!$H$11,ROW()/2-6,0)</f>
        <v>0</v>
      </c>
      <c r="E54" s="340"/>
      <c r="F54" s="321"/>
      <c r="G54" s="322">
        <f ca="1">OFFSET('Регистрация ОТ'!$D$11,ROW()/2-6,0)</f>
        <v>0</v>
      </c>
      <c r="H54" s="690">
        <f>G54+G55</f>
        <v>0</v>
      </c>
      <c r="I54" s="685"/>
      <c r="J54" s="679">
        <f ca="1">OFFSET('Регистрация ОТ'!$T$11,ROW()/2-6,0)</f>
        <v>0</v>
      </c>
    </row>
    <row r="55" spans="1:10" s="318" customFormat="1" ht="14.25" customHeight="1" hidden="1">
      <c r="A55" s="694"/>
      <c r="B55" s="507">
        <f ca="1">OFFSET('Регистрация ОТ'!$AO$11,ROW()/2-6,0)</f>
      </c>
      <c r="C55" s="538">
        <f ca="1">OFFSET('Регистрация ОТ'!$AP$11,ROW()/2-6,0)</f>
      </c>
      <c r="D55" s="508">
        <f ca="1">OFFSET('Регистрация ОТ'!$O$11,ROW()/2-6,0)</f>
        <v>0</v>
      </c>
      <c r="E55" s="338"/>
      <c r="F55" s="324"/>
      <c r="G55" s="325">
        <f ca="1">OFFSET('Регистрация ОТ'!$K$11,ROW()/2-6,0)</f>
        <v>0</v>
      </c>
      <c r="H55" s="691"/>
      <c r="I55" s="685"/>
      <c r="J55" s="679"/>
    </row>
    <row r="56" spans="1:10" s="314" customFormat="1" ht="14.25" customHeight="1" hidden="1">
      <c r="A56" s="694">
        <v>22</v>
      </c>
      <c r="B56" s="310">
        <f ca="1">OFFSET('Регистрация ОТ'!$AB$11,ROW()/2-6,0)</f>
      </c>
      <c r="C56" s="537">
        <f ca="1">OFFSET('Регистрация ОТ'!$AC$11,ROW()/2-6,0)</f>
      </c>
      <c r="D56" s="311">
        <f ca="1">OFFSET('Регистрация ОТ'!$H$11,ROW()/2-6,0)</f>
        <v>0</v>
      </c>
      <c r="E56" s="340"/>
      <c r="F56" s="321"/>
      <c r="G56" s="322">
        <f ca="1">OFFSET('Регистрация ОТ'!$D$11,ROW()/2-6,0)</f>
        <v>0</v>
      </c>
      <c r="H56" s="690">
        <f>G56+G57</f>
        <v>0</v>
      </c>
      <c r="I56" s="685"/>
      <c r="J56" s="679">
        <f ca="1">OFFSET('Регистрация ОТ'!$T$11,ROW()/2-6,0)</f>
        <v>0</v>
      </c>
    </row>
    <row r="57" spans="1:10" s="318" customFormat="1" ht="14.25" customHeight="1" hidden="1">
      <c r="A57" s="694"/>
      <c r="B57" s="507">
        <f ca="1">OFFSET('Регистрация ОТ'!$AO$11,ROW()/2-6,0)</f>
      </c>
      <c r="C57" s="538">
        <f ca="1">OFFSET('Регистрация ОТ'!$AP$11,ROW()/2-6,0)</f>
      </c>
      <c r="D57" s="508">
        <f ca="1">OFFSET('Регистрация ОТ'!$O$11,ROW()/2-6,0)</f>
        <v>0</v>
      </c>
      <c r="E57" s="338"/>
      <c r="F57" s="324"/>
      <c r="G57" s="325">
        <f ca="1">OFFSET('Регистрация ОТ'!$K$11,ROW()/2-6,0)</f>
        <v>0</v>
      </c>
      <c r="H57" s="691"/>
      <c r="I57" s="685"/>
      <c r="J57" s="679"/>
    </row>
    <row r="58" spans="1:10" s="314" customFormat="1" ht="14.25" customHeight="1" hidden="1">
      <c r="A58" s="694">
        <v>23</v>
      </c>
      <c r="B58" s="310">
        <f ca="1">OFFSET('Регистрация ОТ'!$AB$11,ROW()/2-6,0)</f>
      </c>
      <c r="C58" s="537">
        <f ca="1">OFFSET('Регистрация ОТ'!$AC$11,ROW()/2-6,0)</f>
      </c>
      <c r="D58" s="311">
        <f ca="1">OFFSET('Регистрация ОТ'!$H$11,ROW()/2-6,0)</f>
        <v>0</v>
      </c>
      <c r="E58" s="340"/>
      <c r="F58" s="321"/>
      <c r="G58" s="322">
        <f ca="1">OFFSET('Регистрация ОТ'!$D$11,ROW()/2-6,0)</f>
        <v>0</v>
      </c>
      <c r="H58" s="690">
        <f>G58+G59</f>
        <v>0</v>
      </c>
      <c r="I58" s="685"/>
      <c r="J58" s="679">
        <f ca="1">OFFSET('Регистрация ОТ'!$T$11,ROW()/2-6,0)</f>
        <v>0</v>
      </c>
    </row>
    <row r="59" spans="1:10" s="318" customFormat="1" ht="14.25" customHeight="1" hidden="1">
      <c r="A59" s="694"/>
      <c r="B59" s="507">
        <f ca="1">OFFSET('Регистрация ОТ'!$AO$11,ROW()/2-6,0)</f>
      </c>
      <c r="C59" s="538">
        <f ca="1">OFFSET('Регистрация ОТ'!$AP$11,ROW()/2-6,0)</f>
      </c>
      <c r="D59" s="508">
        <f ca="1">OFFSET('Регистрация ОТ'!$O$11,ROW()/2-6,0)</f>
        <v>0</v>
      </c>
      <c r="E59" s="338"/>
      <c r="F59" s="324"/>
      <c r="G59" s="325">
        <f ca="1">OFFSET('Регистрация ОТ'!$K$11,ROW()/2-6,0)</f>
        <v>0</v>
      </c>
      <c r="H59" s="691"/>
      <c r="I59" s="685"/>
      <c r="J59" s="679"/>
    </row>
    <row r="60" spans="1:10" s="314" customFormat="1" ht="14.25" customHeight="1" hidden="1">
      <c r="A60" s="694">
        <v>24</v>
      </c>
      <c r="B60" s="310">
        <f ca="1">OFFSET('Регистрация ОТ'!$AB$11,ROW()/2-6,0)</f>
      </c>
      <c r="C60" s="537">
        <f ca="1">OFFSET('Регистрация ОТ'!$AC$11,ROW()/2-6,0)</f>
      </c>
      <c r="D60" s="311">
        <f ca="1">OFFSET('Регистрация ОТ'!$H$11,ROW()/2-6,0)</f>
        <v>0</v>
      </c>
      <c r="E60" s="340"/>
      <c r="F60" s="321"/>
      <c r="G60" s="322">
        <f ca="1">OFFSET('Регистрация ОТ'!$D$11,ROW()/2-6,0)</f>
        <v>0</v>
      </c>
      <c r="H60" s="690">
        <f>G60+G61</f>
        <v>0</v>
      </c>
      <c r="I60" s="685"/>
      <c r="J60" s="679">
        <f ca="1">OFFSET('Регистрация ОТ'!$T$11,ROW()/2-6,0)</f>
        <v>0</v>
      </c>
    </row>
    <row r="61" spans="1:10" s="318" customFormat="1" ht="14.25" customHeight="1" hidden="1">
      <c r="A61" s="694"/>
      <c r="B61" s="507">
        <f ca="1">OFFSET('Регистрация ОТ'!$AO$11,ROW()/2-6,0)</f>
      </c>
      <c r="C61" s="538">
        <f ca="1">OFFSET('Регистрация ОТ'!$AP$11,ROW()/2-6,0)</f>
      </c>
      <c r="D61" s="508">
        <f ca="1">OFFSET('Регистрация ОТ'!$O$11,ROW()/2-6,0)</f>
        <v>0</v>
      </c>
      <c r="E61" s="338"/>
      <c r="F61" s="324"/>
      <c r="G61" s="325">
        <f ca="1">OFFSET('Регистрация ОТ'!$K$11,ROW()/2-6,0)</f>
        <v>0</v>
      </c>
      <c r="H61" s="691"/>
      <c r="I61" s="685"/>
      <c r="J61" s="679"/>
    </row>
    <row r="62" spans="1:10" s="314" customFormat="1" ht="14.25" customHeight="1" hidden="1">
      <c r="A62" s="694">
        <v>25</v>
      </c>
      <c r="B62" s="310">
        <f ca="1">OFFSET('Регистрация ОТ'!$AB$11,ROW()/2-6,0)</f>
      </c>
      <c r="C62" s="537">
        <f ca="1">OFFSET('Регистрация ОТ'!$AC$11,ROW()/2-6,0)</f>
      </c>
      <c r="D62" s="311">
        <f ca="1">OFFSET('Регистрация ОТ'!$H$11,ROW()/2-6,0)</f>
        <v>0</v>
      </c>
      <c r="E62" s="340"/>
      <c r="F62" s="321"/>
      <c r="G62" s="322">
        <f ca="1">OFFSET('Регистрация ОТ'!$D$11,ROW()/2-6,0)</f>
        <v>0</v>
      </c>
      <c r="H62" s="690">
        <f>G62+G63</f>
        <v>0</v>
      </c>
      <c r="I62" s="685"/>
      <c r="J62" s="679">
        <f ca="1">OFFSET('Регистрация ОТ'!$T$11,ROW()/2-6,0)</f>
        <v>0</v>
      </c>
    </row>
    <row r="63" spans="1:10" s="318" customFormat="1" ht="14.25" customHeight="1" hidden="1">
      <c r="A63" s="694"/>
      <c r="B63" s="507">
        <f ca="1">OFFSET('Регистрация ОТ'!$AO$11,ROW()/2-6,0)</f>
      </c>
      <c r="C63" s="538">
        <f ca="1">OFFSET('Регистрация ОТ'!$AP$11,ROW()/2-6,0)</f>
      </c>
      <c r="D63" s="508">
        <f ca="1">OFFSET('Регистрация ОТ'!$O$11,ROW()/2-6,0)</f>
        <v>0</v>
      </c>
      <c r="E63" s="338"/>
      <c r="F63" s="324"/>
      <c r="G63" s="325">
        <f ca="1">OFFSET('Регистрация ОТ'!$K$11,ROW()/2-6,0)</f>
        <v>0</v>
      </c>
      <c r="H63" s="691"/>
      <c r="I63" s="685"/>
      <c r="J63" s="679"/>
    </row>
    <row r="64" spans="1:10" s="314" customFormat="1" ht="14.25" customHeight="1" hidden="1">
      <c r="A64" s="694">
        <v>26</v>
      </c>
      <c r="B64" s="310">
        <f ca="1">OFFSET('Регистрация ОТ'!$AB$11,ROW()/2-6,0)</f>
      </c>
      <c r="C64" s="537">
        <f ca="1">OFFSET('Регистрация ОТ'!$AC$11,ROW()/2-6,0)</f>
      </c>
      <c r="D64" s="311">
        <f ca="1">OFFSET('Регистрация ОТ'!$H$11,ROW()/2-6,0)</f>
        <v>0</v>
      </c>
      <c r="E64" s="340"/>
      <c r="F64" s="321"/>
      <c r="G64" s="322">
        <f ca="1">OFFSET('Регистрация ОТ'!$D$11,ROW()/2-6,0)</f>
        <v>0</v>
      </c>
      <c r="H64" s="690">
        <f>G64+G65</f>
        <v>0</v>
      </c>
      <c r="I64" s="685"/>
      <c r="J64" s="679">
        <f ca="1">OFFSET('Регистрация ОТ'!$T$11,ROW()/2-6,0)</f>
        <v>0</v>
      </c>
    </row>
    <row r="65" spans="1:10" s="318" customFormat="1" ht="14.25" customHeight="1" hidden="1">
      <c r="A65" s="694"/>
      <c r="B65" s="507">
        <f ca="1">OFFSET('Регистрация ОТ'!$AO$11,ROW()/2-6,0)</f>
      </c>
      <c r="C65" s="538">
        <f ca="1">OFFSET('Регистрация ОТ'!$AP$11,ROW()/2-6,0)</f>
      </c>
      <c r="D65" s="508">
        <f ca="1">OFFSET('Регистрация ОТ'!$O$11,ROW()/2-6,0)</f>
        <v>0</v>
      </c>
      <c r="E65" s="338"/>
      <c r="F65" s="324"/>
      <c r="G65" s="325">
        <f ca="1">OFFSET('Регистрация ОТ'!$K$11,ROW()/2-6,0)</f>
        <v>0</v>
      </c>
      <c r="H65" s="691"/>
      <c r="I65" s="685"/>
      <c r="J65" s="679"/>
    </row>
    <row r="66" spans="1:10" s="314" customFormat="1" ht="14.25" customHeight="1">
      <c r="A66" s="694">
        <f>Установка!D52+1</f>
        <v>8</v>
      </c>
      <c r="B66" s="310">
        <f ca="1">OFFSET('Регистрация ОТ'!$AB$11,ROW()/2-6,0)</f>
      </c>
      <c r="C66" s="537">
        <f ca="1">OFFSET('Регистрация ОТ'!$AC$11,ROW()/2-6,0)</f>
      </c>
      <c r="D66" s="311">
        <f ca="1">OFFSET('Регистрация ОТ'!$H$11,ROW()/2-6,0)</f>
        <v>0</v>
      </c>
      <c r="E66" s="340"/>
      <c r="F66" s="321"/>
      <c r="G66" s="322">
        <f ca="1">OFFSET('Регистрация ОТ'!$D$11,ROW()/2-6,0)</f>
        <v>0</v>
      </c>
      <c r="H66" s="690">
        <f>G66+G67</f>
        <v>0</v>
      </c>
      <c r="I66" s="685"/>
      <c r="J66" s="679">
        <f ca="1">OFFSET('Регистрация ОТ'!$T$11,ROW()/2-6,0)</f>
        <v>0</v>
      </c>
    </row>
    <row r="67" spans="1:10" s="318" customFormat="1" ht="14.25" customHeight="1">
      <c r="A67" s="694"/>
      <c r="B67" s="507">
        <f ca="1">OFFSET('Регистрация ОТ'!$AO$11,ROW()/2-6,0)</f>
      </c>
      <c r="C67" s="538">
        <f ca="1">OFFSET('Регистрация ОТ'!$AP$11,ROW()/2-6,0)</f>
      </c>
      <c r="D67" s="508">
        <f ca="1">OFFSET('Регистрация ОТ'!$O$11,ROW()/2-6,0)</f>
        <v>0</v>
      </c>
      <c r="E67" s="338"/>
      <c r="F67" s="324"/>
      <c r="G67" s="325">
        <f ca="1">OFFSET('Регистрация ОТ'!$K$11,ROW()/2-6,0)</f>
        <v>0</v>
      </c>
      <c r="H67" s="691"/>
      <c r="I67" s="685"/>
      <c r="J67" s="679"/>
    </row>
    <row r="68" spans="1:10" s="314" customFormat="1" ht="14.25" customHeight="1" hidden="1">
      <c r="A68" s="694">
        <f>Установка!D52+2</f>
        <v>9</v>
      </c>
      <c r="B68" s="310">
        <f ca="1">OFFSET('Регистрация ОТ'!$AB$11,ROW()/2-6,0)</f>
      </c>
      <c r="C68" s="537">
        <f ca="1">OFFSET('Регистрация ОТ'!$AC$11,ROW()/2-6,0)</f>
      </c>
      <c r="D68" s="311">
        <f ca="1">OFFSET('Регистрация ОТ'!$H$11,ROW()/2-6,0)</f>
        <v>0</v>
      </c>
      <c r="E68" s="340"/>
      <c r="F68" s="321"/>
      <c r="G68" s="322">
        <f ca="1">OFFSET('Регистрация ОТ'!$D$11,ROW()/2-6,0)</f>
        <v>0</v>
      </c>
      <c r="H68" s="690">
        <f>G68+G69</f>
        <v>0</v>
      </c>
      <c r="I68" s="685"/>
      <c r="J68" s="679">
        <f ca="1">OFFSET('Регистрация ОТ'!$T$11,ROW()/2-6,0)</f>
        <v>0</v>
      </c>
    </row>
    <row r="69" spans="1:10" s="318" customFormat="1" ht="14.25" customHeight="1" hidden="1">
      <c r="A69" s="694"/>
      <c r="B69" s="507">
        <f ca="1">OFFSET('Регистрация ОТ'!$AO$11,ROW()/2-6,0)</f>
      </c>
      <c r="C69" s="538">
        <f ca="1">OFFSET('Регистрация ОТ'!$AP$11,ROW()/2-6,0)</f>
      </c>
      <c r="D69" s="508">
        <f ca="1">OFFSET('Регистрация ОТ'!$O$11,ROW()/2-6,0)</f>
        <v>0</v>
      </c>
      <c r="E69" s="338"/>
      <c r="F69" s="324"/>
      <c r="G69" s="325">
        <f ca="1">OFFSET('Регистрация ОТ'!$K$11,ROW()/2-6,0)</f>
        <v>0</v>
      </c>
      <c r="H69" s="691"/>
      <c r="I69" s="685"/>
      <c r="J69" s="679"/>
    </row>
    <row r="70" spans="1:10" s="314" customFormat="1" ht="14.25" customHeight="1" hidden="1">
      <c r="A70" s="694">
        <f>Установка!D52+3</f>
        <v>10</v>
      </c>
      <c r="B70" s="310">
        <f ca="1">OFFSET('Регистрация ОТ'!$AB$11,ROW()/2-6,0)</f>
      </c>
      <c r="C70" s="537">
        <f ca="1">OFFSET('Регистрация ОТ'!$AC$11,ROW()/2-6,0)</f>
      </c>
      <c r="D70" s="311">
        <f ca="1">OFFSET('Регистрация ОТ'!$H$11,ROW()/2-6,0)</f>
        <v>0</v>
      </c>
      <c r="E70" s="340"/>
      <c r="F70" s="321"/>
      <c r="G70" s="322">
        <f ca="1">OFFSET('Регистрация ОТ'!$D$11,ROW()/2-6,0)</f>
        <v>0</v>
      </c>
      <c r="H70" s="690">
        <f>G70+G71</f>
        <v>0</v>
      </c>
      <c r="I70" s="685"/>
      <c r="J70" s="679">
        <f ca="1">OFFSET('Регистрация ОТ'!$T$11,ROW()/2-6,0)</f>
        <v>0</v>
      </c>
    </row>
    <row r="71" spans="1:10" s="318" customFormat="1" ht="14.25" customHeight="1" hidden="1">
      <c r="A71" s="694"/>
      <c r="B71" s="507">
        <f ca="1">OFFSET('Регистрация ОТ'!$AO$11,ROW()/2-6,0)</f>
      </c>
      <c r="C71" s="538">
        <f ca="1">OFFSET('Регистрация ОТ'!$AP$11,ROW()/2-6,0)</f>
      </c>
      <c r="D71" s="508">
        <f ca="1">OFFSET('Регистрация ОТ'!$O$11,ROW()/2-6,0)</f>
        <v>0</v>
      </c>
      <c r="E71" s="338"/>
      <c r="F71" s="324"/>
      <c r="G71" s="325">
        <f ca="1">OFFSET('Регистрация ОТ'!$K$11,ROW()/2-6,0)</f>
        <v>0</v>
      </c>
      <c r="H71" s="691"/>
      <c r="I71" s="685"/>
      <c r="J71" s="679"/>
    </row>
    <row r="72" spans="1:10" s="314" customFormat="1" ht="14.25" customHeight="1" hidden="1">
      <c r="A72" s="694">
        <f>Установка!D52+4</f>
        <v>11</v>
      </c>
      <c r="B72" s="310">
        <f ca="1">OFFSET('Регистрация ОТ'!$AB$11,ROW()/2-6,0)</f>
      </c>
      <c r="C72" s="537">
        <f ca="1">OFFSET('Регистрация ОТ'!$AC$11,ROW()/2-6,0)</f>
      </c>
      <c r="D72" s="311">
        <f ca="1">OFFSET('Регистрация ОТ'!$H$11,ROW()/2-6,0)</f>
        <v>0</v>
      </c>
      <c r="E72" s="340"/>
      <c r="F72" s="321"/>
      <c r="G72" s="322">
        <f ca="1">OFFSET('Регистрация ОТ'!$D$11,ROW()/2-6,0)</f>
        <v>0</v>
      </c>
      <c r="H72" s="690">
        <f>G72+G73</f>
        <v>0</v>
      </c>
      <c r="I72" s="685"/>
      <c r="J72" s="679">
        <f ca="1">OFFSET('Регистрация ОТ'!$T$11,ROW()/2-6,0)</f>
        <v>0</v>
      </c>
    </row>
    <row r="73" spans="1:10" s="318" customFormat="1" ht="14.25" customHeight="1" hidden="1">
      <c r="A73" s="694"/>
      <c r="B73" s="507">
        <f ca="1">OFFSET('Регистрация ОТ'!$AO$11,ROW()/2-6,0)</f>
      </c>
      <c r="C73" s="538">
        <f ca="1">OFFSET('Регистрация ОТ'!$AP$11,ROW()/2-6,0)</f>
      </c>
      <c r="D73" s="508">
        <f ca="1">OFFSET('Регистрация ОТ'!$O$11,ROW()/2-6,0)</f>
        <v>0</v>
      </c>
      <c r="E73" s="338"/>
      <c r="F73" s="324"/>
      <c r="G73" s="325">
        <f ca="1">OFFSET('Регистрация ОТ'!$K$11,ROW()/2-6,0)</f>
        <v>0</v>
      </c>
      <c r="H73" s="691"/>
      <c r="I73" s="685"/>
      <c r="J73" s="679"/>
    </row>
    <row r="74" spans="1:10" s="314" customFormat="1" ht="14.25" customHeight="1" hidden="1">
      <c r="A74" s="694">
        <v>31</v>
      </c>
      <c r="B74" s="310">
        <f ca="1">OFFSET('Регистрация ОТ'!$AB$11,ROW()/2-6,0)</f>
      </c>
      <c r="C74" s="537">
        <f ca="1">OFFSET('Регистрация ОТ'!$AC$11,ROW()/2-6,0)</f>
      </c>
      <c r="D74" s="311">
        <f ca="1">OFFSET('Регистрация ОТ'!$H$11,ROW()/2-6,0)</f>
        <v>0</v>
      </c>
      <c r="E74" s="340"/>
      <c r="F74" s="321"/>
      <c r="G74" s="322">
        <f ca="1">OFFSET('Регистрация ОТ'!$D$11,ROW()/2-6,0)</f>
        <v>0</v>
      </c>
      <c r="H74" s="690">
        <f>G74+G75</f>
        <v>0</v>
      </c>
      <c r="I74" s="685"/>
      <c r="J74" s="679">
        <f ca="1">OFFSET('Регистрация ОТ'!$T$11,ROW()/2-6,0)</f>
        <v>0</v>
      </c>
    </row>
    <row r="75" spans="1:10" s="318" customFormat="1" ht="14.25" customHeight="1" hidden="1">
      <c r="A75" s="694"/>
      <c r="B75" s="507">
        <f ca="1">OFFSET('Регистрация ОТ'!$AO$11,ROW()/2-6,0)</f>
      </c>
      <c r="C75" s="538">
        <f ca="1">OFFSET('Регистрация ОТ'!$AP$11,ROW()/2-6,0)</f>
      </c>
      <c r="D75" s="508">
        <f ca="1">OFFSET('Регистрация ОТ'!$O$11,ROW()/2-6,0)</f>
        <v>0</v>
      </c>
      <c r="E75" s="338"/>
      <c r="F75" s="324"/>
      <c r="G75" s="325">
        <f ca="1">OFFSET('Регистрация ОТ'!$K$11,ROW()/2-6,0)</f>
        <v>0</v>
      </c>
      <c r="H75" s="691"/>
      <c r="I75" s="685"/>
      <c r="J75" s="679"/>
    </row>
    <row r="76" spans="1:10" s="314" customFormat="1" ht="14.25" customHeight="1" hidden="1">
      <c r="A76" s="694">
        <v>32</v>
      </c>
      <c r="B76" s="310">
        <f ca="1">OFFSET('Регистрация ОТ'!$AB$11,ROW()/2-6,0)</f>
      </c>
      <c r="C76" s="537">
        <f ca="1">OFFSET('Регистрация ОТ'!$AC$11,ROW()/2-6,0)</f>
      </c>
      <c r="D76" s="311">
        <f ca="1">OFFSET('Регистрация ОТ'!$H$11,ROW()/2-6,0)</f>
        <v>0</v>
      </c>
      <c r="E76" s="340"/>
      <c r="F76" s="321"/>
      <c r="G76" s="322">
        <f ca="1">OFFSET('Регистрация ОТ'!$D$11,ROW()/2-6,0)</f>
        <v>0</v>
      </c>
      <c r="H76" s="690">
        <f>G76+G77</f>
        <v>0</v>
      </c>
      <c r="I76" s="685"/>
      <c r="J76" s="679">
        <f ca="1">OFFSET('Регистрация ОТ'!$T$11,ROW()/2-6,0)</f>
        <v>0</v>
      </c>
    </row>
    <row r="77" spans="1:10" s="318" customFormat="1" ht="14.25" customHeight="1" hidden="1">
      <c r="A77" s="694"/>
      <c r="B77" s="507">
        <f ca="1">OFFSET('Регистрация ОТ'!$AO$11,ROW()/2-6,0)</f>
      </c>
      <c r="C77" s="538">
        <f ca="1">OFFSET('Регистрация ОТ'!$AP$11,ROW()/2-6,0)</f>
      </c>
      <c r="D77" s="508">
        <f ca="1">OFFSET('Регистрация ОТ'!$O$11,ROW()/2-6,0)</f>
        <v>0</v>
      </c>
      <c r="E77" s="338"/>
      <c r="F77" s="324"/>
      <c r="G77" s="325">
        <f ca="1">OFFSET('Регистрация ОТ'!$K$11,ROW()/2-6,0)</f>
        <v>0</v>
      </c>
      <c r="H77" s="691"/>
      <c r="I77" s="685"/>
      <c r="J77" s="679"/>
    </row>
    <row r="78" spans="1:10" s="314" customFormat="1" ht="14.25" customHeight="1">
      <c r="A78" s="694">
        <f>Установка!D52+Установка!D53+1</f>
        <v>9</v>
      </c>
      <c r="B78" s="310">
        <f ca="1">OFFSET('Регистрация ОТ'!$AB$11,ROW()/2-6,0)</f>
        <v>0</v>
      </c>
      <c r="C78" s="537">
        <f ca="1">OFFSET('Регистрация ОТ'!$AC$11,ROW()/2-6,0)</f>
        <v>0</v>
      </c>
      <c r="D78" s="311">
        <f ca="1">OFFSET('Регистрация ОТ'!$H$11,ROW()/2-6,0)</f>
        <v>0</v>
      </c>
      <c r="E78" s="340"/>
      <c r="F78" s="321"/>
      <c r="G78" s="322"/>
      <c r="H78" s="690"/>
      <c r="I78" s="685"/>
      <c r="J78" s="679"/>
    </row>
    <row r="79" spans="1:10" s="318" customFormat="1" ht="14.25" customHeight="1">
      <c r="A79" s="694"/>
      <c r="B79" s="507">
        <f ca="1">OFFSET('Регистрация ОТ'!$AO$11,ROW()/2-6,0)</f>
        <v>0</v>
      </c>
      <c r="C79" s="538">
        <f ca="1">OFFSET('Регистрация ОТ'!$AP$11,ROW()/2-6,0)</f>
        <v>0</v>
      </c>
      <c r="D79" s="508">
        <f ca="1">OFFSET('Регистрация ОТ'!$O$11,ROW()/2-6,0)</f>
        <v>0</v>
      </c>
      <c r="E79" s="338"/>
      <c r="F79" s="324"/>
      <c r="G79" s="325"/>
      <c r="H79" s="691"/>
      <c r="I79" s="685"/>
      <c r="J79" s="679"/>
    </row>
    <row r="80" spans="1:10" s="314" customFormat="1" ht="14.25" customHeight="1">
      <c r="A80" s="694">
        <f>Установка!D52+Установка!D53+2</f>
        <v>10</v>
      </c>
      <c r="B80" s="310">
        <f ca="1">OFFSET('Регистрация ОТ'!$AB$11,ROW()/2-6,0)</f>
        <v>0</v>
      </c>
      <c r="C80" s="537">
        <f ca="1">OFFSET('Регистрация ОТ'!$AC$11,ROW()/2-6,0)</f>
        <v>0</v>
      </c>
      <c r="D80" s="311">
        <f ca="1">OFFSET('Регистрация ОТ'!$H$11,ROW()/2-6,0)</f>
        <v>0</v>
      </c>
      <c r="E80" s="340"/>
      <c r="F80" s="321"/>
      <c r="G80" s="322"/>
      <c r="H80" s="690"/>
      <c r="I80" s="685"/>
      <c r="J80" s="679"/>
    </row>
    <row r="81" spans="1:10" s="318" customFormat="1" ht="14.25" customHeight="1">
      <c r="A81" s="694"/>
      <c r="B81" s="310">
        <f ca="1">OFFSET('Регистрация ОТ'!$AO$11,ROW()/2-6,0)</f>
        <v>0</v>
      </c>
      <c r="C81" s="537">
        <f ca="1">OFFSET('Регистрация ОТ'!$AP$11,ROW()/2-6,0)</f>
        <v>0</v>
      </c>
      <c r="D81" s="311">
        <f ca="1">OFFSET('Регистрация ОТ'!$O$11,ROW()/2-6,0)</f>
        <v>0</v>
      </c>
      <c r="E81" s="338"/>
      <c r="F81" s="324"/>
      <c r="G81" s="325"/>
      <c r="H81" s="691"/>
      <c r="I81" s="685"/>
      <c r="J81" s="679"/>
    </row>
    <row r="82" spans="1:10" s="314" customFormat="1" ht="14.25" customHeight="1">
      <c r="A82" s="694">
        <f>Установка!D52+Установка!D53+3</f>
        <v>11</v>
      </c>
      <c r="B82" s="319"/>
      <c r="C82" s="540"/>
      <c r="D82" s="326"/>
      <c r="E82" s="340"/>
      <c r="F82" s="321"/>
      <c r="G82" s="322"/>
      <c r="H82" s="690"/>
      <c r="I82" s="685"/>
      <c r="J82" s="679"/>
    </row>
    <row r="83" spans="1:10" s="318" customFormat="1" ht="14.25" customHeight="1">
      <c r="A83" s="694"/>
      <c r="B83" s="323"/>
      <c r="C83" s="542"/>
      <c r="D83" s="315"/>
      <c r="E83" s="338"/>
      <c r="F83" s="324"/>
      <c r="G83" s="325"/>
      <c r="H83" s="691"/>
      <c r="I83" s="685"/>
      <c r="J83" s="679"/>
    </row>
    <row r="84" spans="1:10" s="314" customFormat="1" ht="14.25" customHeight="1">
      <c r="A84" s="694">
        <f>Установка!D52+Установка!D53+4</f>
        <v>12</v>
      </c>
      <c r="B84" s="319"/>
      <c r="C84" s="540"/>
      <c r="D84" s="326"/>
      <c r="E84" s="340"/>
      <c r="F84" s="321"/>
      <c r="G84" s="322"/>
      <c r="H84" s="690"/>
      <c r="I84" s="685"/>
      <c r="J84" s="679"/>
    </row>
    <row r="85" spans="1:10" s="318" customFormat="1" ht="14.25" customHeight="1">
      <c r="A85" s="694"/>
      <c r="B85" s="323"/>
      <c r="C85" s="542"/>
      <c r="D85" s="315"/>
      <c r="E85" s="338"/>
      <c r="F85" s="324"/>
      <c r="G85" s="325"/>
      <c r="H85" s="691"/>
      <c r="I85" s="685"/>
      <c r="J85" s="679"/>
    </row>
    <row r="86" spans="1:10" s="314" customFormat="1" ht="14.25" customHeight="1">
      <c r="A86" s="694">
        <f>Установка!D52+Установка!D53+5</f>
        <v>13</v>
      </c>
      <c r="B86" s="319"/>
      <c r="C86" s="540"/>
      <c r="D86" s="326"/>
      <c r="E86" s="340"/>
      <c r="F86" s="321"/>
      <c r="G86" s="322"/>
      <c r="H86" s="690"/>
      <c r="I86" s="685"/>
      <c r="J86" s="679"/>
    </row>
    <row r="87" spans="1:10" s="318" customFormat="1" ht="14.25" customHeight="1">
      <c r="A87" s="694"/>
      <c r="B87" s="323"/>
      <c r="C87" s="542"/>
      <c r="D87" s="315"/>
      <c r="E87" s="338"/>
      <c r="F87" s="324"/>
      <c r="G87" s="325"/>
      <c r="H87" s="691"/>
      <c r="I87" s="685"/>
      <c r="J87" s="679"/>
    </row>
    <row r="88" spans="1:10" s="314" customFormat="1" ht="14.25" customHeight="1">
      <c r="A88" s="694">
        <f>Установка!D52+Установка!D53+6</f>
        <v>14</v>
      </c>
      <c r="B88" s="319"/>
      <c r="C88" s="540"/>
      <c r="D88" s="326"/>
      <c r="E88" s="340"/>
      <c r="F88" s="321"/>
      <c r="G88" s="322"/>
      <c r="H88" s="690"/>
      <c r="I88" s="685"/>
      <c r="J88" s="679"/>
    </row>
    <row r="89" spans="1:10" s="318" customFormat="1" ht="14.25" customHeight="1">
      <c r="A89" s="694"/>
      <c r="B89" s="323"/>
      <c r="C89" s="542"/>
      <c r="D89" s="315"/>
      <c r="E89" s="338"/>
      <c r="F89" s="324"/>
      <c r="G89" s="325"/>
      <c r="H89" s="691"/>
      <c r="I89" s="685"/>
      <c r="J89" s="679"/>
    </row>
    <row r="90" spans="1:10" s="314" customFormat="1" ht="14.25" customHeight="1">
      <c r="A90" s="694">
        <f>Установка!D52+Установка!D53+7</f>
        <v>15</v>
      </c>
      <c r="B90" s="319"/>
      <c r="C90" s="540"/>
      <c r="D90" s="326"/>
      <c r="E90" s="340"/>
      <c r="F90" s="321"/>
      <c r="G90" s="322"/>
      <c r="H90" s="690"/>
      <c r="I90" s="685"/>
      <c r="J90" s="679"/>
    </row>
    <row r="91" spans="1:10" s="318" customFormat="1" ht="14.25" customHeight="1">
      <c r="A91" s="694"/>
      <c r="B91" s="323"/>
      <c r="C91" s="542"/>
      <c r="D91" s="315"/>
      <c r="E91" s="338"/>
      <c r="F91" s="324"/>
      <c r="G91" s="325"/>
      <c r="H91" s="691"/>
      <c r="I91" s="685"/>
      <c r="J91" s="679"/>
    </row>
    <row r="92" spans="1:10" s="314" customFormat="1" ht="14.25" customHeight="1">
      <c r="A92" s="701">
        <f>Установка!D52+Установка!D53+8</f>
        <v>16</v>
      </c>
      <c r="B92" s="319"/>
      <c r="C92" s="540"/>
      <c r="D92" s="320"/>
      <c r="E92" s="339"/>
      <c r="F92" s="321"/>
      <c r="G92" s="322"/>
      <c r="H92" s="690"/>
      <c r="I92" s="686"/>
      <c r="J92" s="680"/>
    </row>
    <row r="93" spans="1:10" s="318" customFormat="1" ht="14.25" customHeight="1" thickBot="1">
      <c r="A93" s="708"/>
      <c r="B93" s="327"/>
      <c r="C93" s="543"/>
      <c r="D93" s="328"/>
      <c r="E93" s="341"/>
      <c r="F93" s="329"/>
      <c r="G93" s="330"/>
      <c r="H93" s="718"/>
      <c r="I93" s="687"/>
      <c r="J93" s="681"/>
    </row>
    <row r="94" spans="8:9" ht="12.75">
      <c r="H94" s="122"/>
      <c r="I94" s="122"/>
    </row>
    <row r="95" spans="2:9" s="331" customFormat="1" ht="12.75">
      <c r="B95" s="331" t="s">
        <v>96</v>
      </c>
      <c r="C95" s="544"/>
      <c r="D95" s="332"/>
      <c r="E95" s="333"/>
      <c r="H95" s="334"/>
      <c r="I95" s="334"/>
    </row>
    <row r="96" spans="3:9" s="331" customFormat="1" ht="12.75">
      <c r="C96" s="717" t="s">
        <v>89</v>
      </c>
      <c r="D96" s="717"/>
      <c r="E96" s="335"/>
      <c r="H96" s="334"/>
      <c r="I96" s="334"/>
    </row>
    <row r="97" spans="2:9" s="331" customFormat="1" ht="12.75">
      <c r="B97" s="331" t="s">
        <v>48</v>
      </c>
      <c r="C97" s="544"/>
      <c r="D97" s="332"/>
      <c r="E97" s="333"/>
      <c r="H97" s="334"/>
      <c r="I97" s="334"/>
    </row>
    <row r="98" spans="3:5" ht="12.75">
      <c r="C98" s="717" t="s">
        <v>97</v>
      </c>
      <c r="D98" s="717"/>
      <c r="E98" s="335"/>
    </row>
  </sheetData>
  <sheetProtection sheet="1" objects="1" scenarios="1" selectLockedCells="1"/>
  <mergeCells count="17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J26:J27"/>
    <mergeCell ref="A28:A29"/>
    <mergeCell ref="H28:H29"/>
    <mergeCell ref="I28:I29"/>
    <mergeCell ref="J28:J29"/>
    <mergeCell ref="J22:J23"/>
    <mergeCell ref="A24:A25"/>
    <mergeCell ref="H24:H25"/>
    <mergeCell ref="I24:I25"/>
    <mergeCell ref="J24:J25"/>
    <mergeCell ref="J18:J19"/>
    <mergeCell ref="A20:A21"/>
    <mergeCell ref="H20:H21"/>
    <mergeCell ref="I20:I21"/>
    <mergeCell ref="J20:J21"/>
    <mergeCell ref="C98:D98"/>
    <mergeCell ref="H90:H91"/>
    <mergeCell ref="H92:H93"/>
    <mergeCell ref="H82:H83"/>
    <mergeCell ref="H84:H85"/>
    <mergeCell ref="H86:H87"/>
    <mergeCell ref="H88:H89"/>
    <mergeCell ref="C96:D96"/>
    <mergeCell ref="H76:H77"/>
    <mergeCell ref="H78:H79"/>
    <mergeCell ref="H80:H81"/>
    <mergeCell ref="H70:H71"/>
    <mergeCell ref="H72:H73"/>
    <mergeCell ref="H74:H75"/>
    <mergeCell ref="H58:H59"/>
    <mergeCell ref="H60:H61"/>
    <mergeCell ref="H62:H63"/>
    <mergeCell ref="H64:H65"/>
    <mergeCell ref="H50:H51"/>
    <mergeCell ref="H52:H53"/>
    <mergeCell ref="H54:H55"/>
    <mergeCell ref="H56:H57"/>
    <mergeCell ref="A68:A69"/>
    <mergeCell ref="A70:A71"/>
    <mergeCell ref="A54:A55"/>
    <mergeCell ref="A56:A57"/>
    <mergeCell ref="H66:H67"/>
    <mergeCell ref="H68:H69"/>
    <mergeCell ref="A72:A73"/>
    <mergeCell ref="H14:H15"/>
    <mergeCell ref="H16:H17"/>
    <mergeCell ref="H38:H39"/>
    <mergeCell ref="H40:H41"/>
    <mergeCell ref="H42:H43"/>
    <mergeCell ref="H44:H45"/>
    <mergeCell ref="H46:H47"/>
    <mergeCell ref="A50:A51"/>
    <mergeCell ref="A52:A53"/>
    <mergeCell ref="A82:A83"/>
    <mergeCell ref="A58:A59"/>
    <mergeCell ref="A60:A61"/>
    <mergeCell ref="A62:A63"/>
    <mergeCell ref="A64:A65"/>
    <mergeCell ref="A74:A75"/>
    <mergeCell ref="A76:A77"/>
    <mergeCell ref="A78:A79"/>
    <mergeCell ref="A80:A81"/>
    <mergeCell ref="A66:A67"/>
    <mergeCell ref="A48:A49"/>
    <mergeCell ref="C6:F6"/>
    <mergeCell ref="H48:H49"/>
    <mergeCell ref="A40:A41"/>
    <mergeCell ref="A42:A43"/>
    <mergeCell ref="A44:A45"/>
    <mergeCell ref="A38:A39"/>
    <mergeCell ref="A46:A47"/>
    <mergeCell ref="C8:D8"/>
    <mergeCell ref="A16:A17"/>
    <mergeCell ref="A92:A93"/>
    <mergeCell ref="A84:A85"/>
    <mergeCell ref="A86:A87"/>
    <mergeCell ref="A88:A89"/>
    <mergeCell ref="A90:A91"/>
    <mergeCell ref="A2:I2"/>
    <mergeCell ref="A3:I3"/>
    <mergeCell ref="C7:D7"/>
    <mergeCell ref="A5:I5"/>
    <mergeCell ref="A4:I4"/>
    <mergeCell ref="F7:H7"/>
    <mergeCell ref="B12:B13"/>
    <mergeCell ref="A12:A13"/>
    <mergeCell ref="A14:A15"/>
    <mergeCell ref="F12:F13"/>
    <mergeCell ref="E12:E13"/>
    <mergeCell ref="D12:D13"/>
    <mergeCell ref="C12:C13"/>
    <mergeCell ref="G9:I9"/>
    <mergeCell ref="G10:I10"/>
    <mergeCell ref="I14:I15"/>
    <mergeCell ref="I16:I17"/>
    <mergeCell ref="I38:I39"/>
    <mergeCell ref="A18:A19"/>
    <mergeCell ref="H18:H19"/>
    <mergeCell ref="I18:I19"/>
    <mergeCell ref="A22:A23"/>
    <mergeCell ref="H22:H23"/>
    <mergeCell ref="I22:I23"/>
    <mergeCell ref="A26:A27"/>
    <mergeCell ref="H26:H27"/>
    <mergeCell ref="I26:I27"/>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J14:J15"/>
    <mergeCell ref="J16:J17"/>
    <mergeCell ref="J38:J39"/>
    <mergeCell ref="J40:J41"/>
    <mergeCell ref="J42:J43"/>
    <mergeCell ref="J44:J45"/>
    <mergeCell ref="J46:J47"/>
    <mergeCell ref="J48:J49"/>
    <mergeCell ref="J50:J51"/>
    <mergeCell ref="J52:J53"/>
    <mergeCell ref="J54:J55"/>
    <mergeCell ref="J56:J57"/>
    <mergeCell ref="J58:J59"/>
    <mergeCell ref="J60:J61"/>
    <mergeCell ref="J62:J63"/>
    <mergeCell ref="J78:J79"/>
    <mergeCell ref="J80:J81"/>
    <mergeCell ref="J66:J67"/>
    <mergeCell ref="J68:J69"/>
    <mergeCell ref="J70:J71"/>
    <mergeCell ref="J72:J73"/>
    <mergeCell ref="J90:J91"/>
    <mergeCell ref="J92:J93"/>
    <mergeCell ref="G12:J12"/>
    <mergeCell ref="J82:J83"/>
    <mergeCell ref="J84:J85"/>
    <mergeCell ref="J86:J87"/>
    <mergeCell ref="J88:J89"/>
    <mergeCell ref="J74:J75"/>
    <mergeCell ref="J76:J77"/>
    <mergeCell ref="J64:J65"/>
  </mergeCells>
  <printOptions horizontalCentered="1"/>
  <pageMargins left="0.15748031496062992" right="0.15748031496062992" top="0.15748031496062992" bottom="0.42" header="0.15748031496062992" footer="0.15748031496062992"/>
  <pageSetup fitToHeight="4" fitToWidth="1" horizontalDpi="600" verticalDpi="600" orientation="landscape" paperSize="9" scale="89" r:id="rId3"/>
  <headerFooter alignWithMargins="0">
    <oddHeader>&amp;C&amp;P из &amp;N</oddHeader>
  </headerFooter>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BA65519"/>
  <sheetViews>
    <sheetView showGridLines="0" showRowColHeaders="0" showZeros="0" showOutlineSymbols="0" zoomScale="70" zoomScaleNormal="70" zoomScaleSheetLayoutView="100" zoomScalePageLayoutView="0" workbookViewId="0" topLeftCell="A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87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37" width="0" style="453" hidden="1" customWidth="1"/>
    <col min="38"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5" t="s">
        <v>129</v>
      </c>
      <c r="B1" s="675"/>
      <c r="C1" s="675"/>
      <c r="D1" s="675"/>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5" t="s">
        <v>3</v>
      </c>
      <c r="B2" s="675"/>
      <c r="C2" s="675"/>
      <c r="D2" s="675"/>
      <c r="E2" s="423" t="str">
        <f>IF(Установка!C7="","",UPPER(Установка!C7))</f>
        <v>07-13.09.2015</v>
      </c>
      <c r="F2" s="430"/>
      <c r="G2" s="431"/>
      <c r="H2" s="432"/>
      <c r="I2" s="427"/>
      <c r="J2" s="427"/>
      <c r="K2" s="427"/>
      <c r="L2" s="427"/>
      <c r="M2" s="427"/>
      <c r="N2" s="427"/>
      <c r="O2" s="427"/>
      <c r="P2" s="427"/>
      <c r="Q2" s="427"/>
      <c r="R2" s="427"/>
      <c r="S2" s="427"/>
      <c r="T2" s="428"/>
      <c r="U2" s="429"/>
      <c r="V2" s="452"/>
      <c r="W2" s="450"/>
    </row>
    <row r="3" spans="1:23" s="453" customFormat="1" ht="10.5" customHeight="1">
      <c r="A3" s="675" t="s">
        <v>2</v>
      </c>
      <c r="B3" s="675"/>
      <c r="C3" s="675"/>
      <c r="D3" s="675"/>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5" t="s">
        <v>83</v>
      </c>
      <c r="B4" s="675"/>
      <c r="C4" s="675"/>
      <c r="D4" s="675"/>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5" t="s">
        <v>44</v>
      </c>
      <c r="B5" s="675"/>
      <c r="C5" s="675"/>
      <c r="D5" s="675"/>
      <c r="E5" s="433" t="str">
        <f>IF(Установка!$C$4="","",UPPER(Установка!$C$4))</f>
        <v>ДО 13 ЛЕТ</v>
      </c>
      <c r="F5" s="427"/>
      <c r="G5" s="429"/>
      <c r="H5" s="428"/>
      <c r="I5" s="427"/>
      <c r="J5" s="427"/>
      <c r="K5" s="427"/>
      <c r="L5" s="427"/>
      <c r="M5" s="427"/>
      <c r="N5" s="427"/>
      <c r="O5" s="427"/>
      <c r="P5" s="427"/>
      <c r="Q5" s="427"/>
      <c r="R5" s="427"/>
      <c r="S5" s="427"/>
      <c r="T5" s="428"/>
      <c r="U5" s="429"/>
      <c r="V5" s="452"/>
      <c r="W5" s="450"/>
    </row>
    <row r="6" spans="1:23" s="453" customFormat="1" ht="10.5" customHeight="1">
      <c r="A6" s="675" t="s">
        <v>130</v>
      </c>
      <c r="B6" s="675"/>
      <c r="C6" s="675"/>
      <c r="D6" s="675"/>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5" t="s">
        <v>131</v>
      </c>
      <c r="B7" s="675"/>
      <c r="C7" s="675"/>
      <c r="D7" s="675"/>
      <c r="E7" s="437">
        <f>IF(Установка!$C$9="","",Установка!$C$9)</f>
        <v>42240</v>
      </c>
      <c r="F7" s="427"/>
      <c r="G7" s="429"/>
      <c r="H7" s="428"/>
      <c r="I7" s="427"/>
      <c r="J7" s="427"/>
      <c r="K7" s="427"/>
      <c r="L7" s="427"/>
      <c r="M7" s="427"/>
      <c r="N7" s="427"/>
      <c r="O7" s="427"/>
      <c r="P7" s="427"/>
      <c r="Q7" s="427"/>
      <c r="R7" s="427"/>
      <c r="S7" s="427"/>
      <c r="T7" s="428"/>
      <c r="U7" s="429"/>
      <c r="V7" s="452"/>
      <c r="W7" s="450"/>
    </row>
    <row r="8" spans="1:23" s="453" customFormat="1" ht="10.5" customHeight="1">
      <c r="A8" s="675" t="s">
        <v>132</v>
      </c>
      <c r="B8" s="675"/>
      <c r="C8" s="675"/>
      <c r="D8" s="675"/>
      <c r="E8" s="437">
        <f>IF(Установка!$C$10="","",Установка!$C$10)</f>
        <v>42248</v>
      </c>
      <c r="F8" s="438"/>
      <c r="G8" s="439"/>
      <c r="H8" s="440"/>
      <c r="I8" s="438"/>
      <c r="J8" s="438"/>
      <c r="K8" s="438"/>
      <c r="L8" s="438"/>
      <c r="M8" s="438"/>
      <c r="N8" s="438"/>
      <c r="O8" s="438"/>
      <c r="P8" s="438"/>
      <c r="Q8" s="438"/>
      <c r="R8" s="438"/>
      <c r="S8" s="438"/>
      <c r="T8" s="440"/>
      <c r="U8" s="439"/>
      <c r="V8" s="452"/>
      <c r="W8" s="450"/>
    </row>
    <row r="9" spans="1:23" s="453" customFormat="1" ht="15">
      <c r="A9" s="676" t="s">
        <v>148</v>
      </c>
      <c r="B9" s="676"/>
      <c r="C9" s="676"/>
      <c r="D9" s="676"/>
      <c r="E9" s="676"/>
      <c r="F9" s="676"/>
      <c r="G9" s="676"/>
      <c r="H9" s="676"/>
      <c r="I9" s="676"/>
      <c r="J9" s="676"/>
      <c r="K9" s="676"/>
      <c r="L9" s="676"/>
      <c r="M9" s="676"/>
      <c r="N9" s="676"/>
      <c r="O9" s="676"/>
      <c r="P9" s="676"/>
      <c r="Q9" s="676"/>
      <c r="R9" s="676"/>
      <c r="S9" s="676"/>
      <c r="T9" s="676"/>
      <c r="U9" s="676"/>
      <c r="V9" s="452"/>
      <c r="W9" s="450"/>
    </row>
    <row r="10" spans="1:53" s="453" customFormat="1" ht="42" customHeight="1" thickBot="1">
      <c r="A10" s="676"/>
      <c r="B10" s="676"/>
      <c r="C10" s="676"/>
      <c r="D10" s="676"/>
      <c r="E10" s="676"/>
      <c r="F10" s="676"/>
      <c r="G10" s="676"/>
      <c r="H10" s="676"/>
      <c r="I10" s="676"/>
      <c r="J10" s="676"/>
      <c r="K10" s="676"/>
      <c r="L10" s="676"/>
      <c r="M10" s="676"/>
      <c r="N10" s="676"/>
      <c r="O10" s="676"/>
      <c r="P10" s="676"/>
      <c r="Q10" s="676"/>
      <c r="R10" s="676"/>
      <c r="S10" s="676"/>
      <c r="T10" s="676"/>
      <c r="U10" s="676"/>
      <c r="V10" s="533"/>
      <c r="W10" s="677" t="s">
        <v>37</v>
      </c>
      <c r="X10" s="677"/>
      <c r="Y10" s="677"/>
      <c r="Z10" s="677"/>
      <c r="AA10" s="677"/>
      <c r="AB10" s="677"/>
      <c r="AC10" s="677"/>
      <c r="AD10" s="677"/>
      <c r="AE10" s="677"/>
      <c r="AF10" s="677"/>
      <c r="AG10" s="677"/>
      <c r="AH10" s="677"/>
      <c r="AI10" s="534"/>
      <c r="AJ10" s="677" t="s">
        <v>38</v>
      </c>
      <c r="AK10" s="677"/>
      <c r="AL10" s="677"/>
      <c r="AM10" s="677"/>
      <c r="AN10" s="677"/>
      <c r="AO10" s="677"/>
      <c r="AP10" s="677"/>
      <c r="AQ10" s="677"/>
      <c r="AR10" s="677"/>
      <c r="AS10" s="677"/>
      <c r="AT10" s="677"/>
      <c r="AU10" s="677"/>
      <c r="AV10" s="535"/>
      <c r="AW10" s="535"/>
      <c r="AX10" s="678" t="s">
        <v>98</v>
      </c>
      <c r="AY10" s="678"/>
      <c r="AZ10" s="678"/>
      <c r="BA10" s="678"/>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t="s">
        <v>25</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v>0</v>
      </c>
      <c r="BA11" s="499"/>
    </row>
    <row r="12" spans="1:53" s="446" customFormat="1" ht="25.5" customHeight="1">
      <c r="A12" s="553"/>
      <c r="B12" s="555">
        <v>1</v>
      </c>
      <c r="C12" s="575"/>
      <c r="D12" s="576"/>
      <c r="E12" s="442"/>
      <c r="F12" s="443"/>
      <c r="G12" s="444"/>
      <c r="H12" s="442"/>
      <c r="I12" s="443"/>
      <c r="J12" s="575"/>
      <c r="K12" s="576"/>
      <c r="L12" s="442"/>
      <c r="M12" s="443"/>
      <c r="N12" s="444"/>
      <c r="O12" s="442"/>
      <c r="P12" s="443"/>
      <c r="Q12" s="571">
        <f aca="true" t="shared" si="0" ref="Q12:Q56">C12+J12</f>
        <v>0</v>
      </c>
      <c r="R12" s="572">
        <f aca="true" t="shared" si="1" ref="R12:R56">D12+K12</f>
        <v>0</v>
      </c>
      <c r="S12" s="527"/>
      <c r="T12" s="528"/>
      <c r="U12" s="529"/>
      <c r="V12" s="445">
        <f aca="true" t="shared" si="2" ref="V12:V56">IF(ISBLANK(E12),100,IF(ISBLANK(S12),0,1))</f>
        <v>100</v>
      </c>
      <c r="W12" s="504">
        <f>LEN(E12)</f>
        <v>0</v>
      </c>
      <c r="X12" s="504">
        <f aca="true" t="shared" si="3" ref="X12:X56">IF((W12)=0,0,FIND(" ",E12))</f>
        <v>0</v>
      </c>
      <c r="Y12" s="504">
        <f aca="true" t="shared" si="4" ref="Y12:Y56">IF(OR(ISERR(X12),W12=0),"",CONCATENATE(MID(E12,X12+1,1),"."))</f>
      </c>
      <c r="Z12" s="504">
        <f aca="true" t="shared" si="5" ref="Z12:Z56">IF(LEN(E12)=0,0,FIND(" ",E12,X12+1))</f>
        <v>0</v>
      </c>
      <c r="AA12" s="504">
        <f aca="true" t="shared" si="6" ref="AA12:AA56">IF(OR(W12=0,ISERR(Z12)),"",CONCATENATE(MID(E12,Z12+1,1),"."))</f>
      </c>
      <c r="AB12" s="505">
        <f aca="true" t="shared" si="7" ref="AB12:AB56">IF(E12="","",IF(ISERR(X12),UPPER(E12),UPPER(MID(E12,1,X12-1))))</f>
      </c>
      <c r="AC12" s="504">
        <f>CONCATENATE(Y12,AA12)</f>
      </c>
      <c r="AD12" s="505">
        <f aca="true" t="shared" si="8" ref="AD12:AD56">IF(E12="","",IF(ISERR(X12),"",UPPER(MID(E12,X12+1,Z12-X12-1))))</f>
      </c>
      <c r="AE12" s="504">
        <f aca="true" t="shared" si="9" ref="AE12:AE56">IF(E12="",0,COUNTIF($AB$12:$AB$56,AB12))</f>
        <v>0</v>
      </c>
      <c r="AF12" s="504">
        <f aca="true" t="shared" si="10" ref="AF12:AF56">IF(E12="",0,COUNTIF($AO$12:$AO$56,AB12))</f>
        <v>0</v>
      </c>
      <c r="AG12" s="504">
        <f>AE12+AF12</f>
        <v>0</v>
      </c>
      <c r="AH12" s="506">
        <f aca="true" t="shared" si="11" ref="AH12:AH56">IF(E12="","",IF(AG12&gt;1,CONCATENATE(AB12," ",AD12),AB12))</f>
      </c>
      <c r="AI12" s="120"/>
      <c r="AJ12" s="504">
        <f>LEN(L12)</f>
        <v>0</v>
      </c>
      <c r="AK12" s="504">
        <f aca="true" t="shared" si="12" ref="AK12:AK56">IF((AJ12)=0,0,FIND(" ",L12))</f>
        <v>0</v>
      </c>
      <c r="AL12" s="504">
        <f aca="true" t="shared" si="13" ref="AL12:AL56">IF(OR(ISERR(AK12),AJ12=0),"",CONCATENATE(MID(L12,AK12+1,1),"."))</f>
      </c>
      <c r="AM12" s="504">
        <f aca="true" t="shared" si="14" ref="AM12:AM56">IF(LEN(L12)=0,0,FIND(" ",L12,AK12+1))</f>
        <v>0</v>
      </c>
      <c r="AN12" s="504">
        <f aca="true" t="shared" si="15" ref="AN12:AN56">IF(OR(AJ12=0,ISERR(AM12)),"",CONCATENATE(MID(L12,AM12+1,1),"."))</f>
      </c>
      <c r="AO12" s="505">
        <f aca="true" t="shared" si="16" ref="AO12:AO56">IF(L12="","",IF(ISERR(AK12),UPPER(L12),UPPER(MID(L12,1,AK12-1))))</f>
      </c>
      <c r="AP12" s="504">
        <f>CONCATENATE(AL12,AN12)</f>
      </c>
      <c r="AQ12" s="505">
        <f aca="true" t="shared" si="17" ref="AQ12:AQ56">IF(L12="","",IF(ISERR(AK12),"",UPPER(MID(L12,AK12+1,AM12-AK12-1))))</f>
      </c>
      <c r="AR12" s="504">
        <f aca="true" t="shared" si="18" ref="AR12:AR56">IF(L12="",0,COUNTIF($AB$12:$AB$56,AO12))</f>
        <v>0</v>
      </c>
      <c r="AS12" s="504">
        <f aca="true" t="shared" si="19" ref="AS12:AS56">IF(L12="",0,COUNTIF($AO$12:$AO$56,AO12))</f>
        <v>0</v>
      </c>
      <c r="AT12" s="504">
        <f>AR12+AS12</f>
        <v>0</v>
      </c>
      <c r="AU12" s="506">
        <f aca="true" t="shared" si="20" ref="AU12:AU56">IF(L12="","",IF(AT12&gt;1,CONCATENATE(AO12," ",AQ12),AO12))</f>
      </c>
      <c r="AV12" s="120"/>
      <c r="AW12" s="500" t="str">
        <f>CONCATENATE(AH12," / ",AU12)</f>
        <v> / </v>
      </c>
      <c r="AX12" s="343" t="s">
        <v>99</v>
      </c>
      <c r="AY12" s="343" t="s">
        <v>100</v>
      </c>
      <c r="AZ12" s="343" t="s">
        <v>102</v>
      </c>
      <c r="BA12" s="343" t="s">
        <v>101</v>
      </c>
    </row>
    <row r="13" spans="1:53" s="446" customFormat="1" ht="25.5" customHeight="1">
      <c r="A13" s="553"/>
      <c r="B13" s="555">
        <v>2</v>
      </c>
      <c r="C13" s="575"/>
      <c r="D13" s="576"/>
      <c r="E13" s="442"/>
      <c r="F13" s="443"/>
      <c r="G13" s="444"/>
      <c r="H13" s="442"/>
      <c r="I13" s="443"/>
      <c r="J13" s="575"/>
      <c r="K13" s="576"/>
      <c r="L13" s="442"/>
      <c r="M13" s="443"/>
      <c r="N13" s="444"/>
      <c r="O13" s="442"/>
      <c r="P13" s="443"/>
      <c r="Q13" s="571">
        <f t="shared" si="0"/>
        <v>0</v>
      </c>
      <c r="R13" s="572">
        <f t="shared" si="1"/>
        <v>0</v>
      </c>
      <c r="S13" s="527"/>
      <c r="T13" s="528"/>
      <c r="U13" s="529"/>
      <c r="V13" s="445">
        <f t="shared" si="2"/>
        <v>100</v>
      </c>
      <c r="W13" s="504">
        <f aca="true" t="shared" si="21" ref="W13:W56">LEN(E13)</f>
        <v>0</v>
      </c>
      <c r="X13" s="504">
        <f t="shared" si="3"/>
        <v>0</v>
      </c>
      <c r="Y13" s="504">
        <f t="shared" si="4"/>
      </c>
      <c r="Z13" s="504">
        <f t="shared" si="5"/>
        <v>0</v>
      </c>
      <c r="AA13" s="504">
        <f t="shared" si="6"/>
      </c>
      <c r="AB13" s="505">
        <f t="shared" si="7"/>
      </c>
      <c r="AC13" s="504">
        <f aca="true" t="shared" si="22" ref="AC13:AC56">CONCATENATE(Y13,AA13)</f>
      </c>
      <c r="AD13" s="505">
        <f t="shared" si="8"/>
      </c>
      <c r="AE13" s="504">
        <f t="shared" si="9"/>
        <v>0</v>
      </c>
      <c r="AF13" s="504">
        <f t="shared" si="10"/>
        <v>0</v>
      </c>
      <c r="AG13" s="504">
        <f aca="true" t="shared" si="23" ref="AG13:AG56">AE13+AF13</f>
        <v>0</v>
      </c>
      <c r="AH13" s="506">
        <f t="shared" si="11"/>
      </c>
      <c r="AI13" s="120"/>
      <c r="AJ13" s="504">
        <f aca="true" t="shared" si="24" ref="AJ13:AJ56">LEN(L13)</f>
        <v>0</v>
      </c>
      <c r="AK13" s="504">
        <f t="shared" si="12"/>
        <v>0</v>
      </c>
      <c r="AL13" s="504">
        <f t="shared" si="13"/>
      </c>
      <c r="AM13" s="504">
        <f t="shared" si="14"/>
        <v>0</v>
      </c>
      <c r="AN13" s="504">
        <f t="shared" si="15"/>
      </c>
      <c r="AO13" s="505">
        <f t="shared" si="16"/>
      </c>
      <c r="AP13" s="504">
        <f aca="true" t="shared" si="25" ref="AP13:AP56">CONCATENATE(AL13,AN13)</f>
      </c>
      <c r="AQ13" s="505">
        <f t="shared" si="17"/>
      </c>
      <c r="AR13" s="504">
        <f t="shared" si="18"/>
        <v>0</v>
      </c>
      <c r="AS13" s="504">
        <f t="shared" si="19"/>
        <v>0</v>
      </c>
      <c r="AT13" s="504">
        <f aca="true" t="shared" si="26" ref="AT13:AT56">AR13+AS13</f>
        <v>0</v>
      </c>
      <c r="AU13" s="506">
        <f t="shared" si="20"/>
      </c>
      <c r="AV13" s="120"/>
      <c r="AW13" s="500" t="str">
        <f aca="true" t="shared" si="27" ref="AW13:AW56">CONCATENATE(AH13," / ",AU13)</f>
        <v> / </v>
      </c>
      <c r="AX13" s="120"/>
      <c r="AY13" s="120"/>
      <c r="AZ13" s="120"/>
      <c r="BA13" s="120"/>
    </row>
    <row r="14" spans="1:53" s="446" customFormat="1" ht="25.5" customHeight="1">
      <c r="A14" s="553"/>
      <c r="B14" s="555">
        <v>3</v>
      </c>
      <c r="C14" s="575"/>
      <c r="D14" s="576"/>
      <c r="E14" s="442"/>
      <c r="F14" s="443"/>
      <c r="G14" s="444"/>
      <c r="H14" s="442"/>
      <c r="I14" s="443"/>
      <c r="J14" s="575"/>
      <c r="K14" s="576"/>
      <c r="L14" s="442"/>
      <c r="M14" s="443"/>
      <c r="N14" s="444"/>
      <c r="O14" s="442"/>
      <c r="P14" s="443"/>
      <c r="Q14" s="571">
        <f t="shared" si="0"/>
        <v>0</v>
      </c>
      <c r="R14" s="572">
        <f t="shared" si="1"/>
        <v>0</v>
      </c>
      <c r="S14" s="527"/>
      <c r="T14" s="528"/>
      <c r="U14" s="529"/>
      <c r="V14" s="445">
        <f t="shared" si="2"/>
        <v>100</v>
      </c>
      <c r="W14" s="504">
        <f t="shared" si="21"/>
        <v>0</v>
      </c>
      <c r="X14" s="504">
        <f t="shared" si="3"/>
        <v>0</v>
      </c>
      <c r="Y14" s="504">
        <f t="shared" si="4"/>
      </c>
      <c r="Z14" s="504">
        <f t="shared" si="5"/>
        <v>0</v>
      </c>
      <c r="AA14" s="504">
        <f t="shared" si="6"/>
      </c>
      <c r="AB14" s="505">
        <f t="shared" si="7"/>
      </c>
      <c r="AC14" s="504">
        <f t="shared" si="22"/>
      </c>
      <c r="AD14" s="505">
        <f t="shared" si="8"/>
      </c>
      <c r="AE14" s="504">
        <f t="shared" si="9"/>
        <v>0</v>
      </c>
      <c r="AF14" s="504">
        <f t="shared" si="10"/>
        <v>0</v>
      </c>
      <c r="AG14" s="504">
        <f t="shared" si="23"/>
        <v>0</v>
      </c>
      <c r="AH14" s="506">
        <f t="shared" si="11"/>
      </c>
      <c r="AI14" s="120"/>
      <c r="AJ14" s="504">
        <f t="shared" si="24"/>
        <v>0</v>
      </c>
      <c r="AK14" s="504">
        <f t="shared" si="12"/>
        <v>0</v>
      </c>
      <c r="AL14" s="504">
        <f t="shared" si="13"/>
      </c>
      <c r="AM14" s="504">
        <f t="shared" si="14"/>
        <v>0</v>
      </c>
      <c r="AN14" s="504">
        <f t="shared" si="15"/>
      </c>
      <c r="AO14" s="505">
        <f t="shared" si="16"/>
      </c>
      <c r="AP14" s="504">
        <f t="shared" si="25"/>
      </c>
      <c r="AQ14" s="505">
        <f t="shared" si="17"/>
      </c>
      <c r="AR14" s="504">
        <f t="shared" si="18"/>
        <v>0</v>
      </c>
      <c r="AS14" s="504">
        <f t="shared" si="19"/>
        <v>0</v>
      </c>
      <c r="AT14" s="504">
        <f t="shared" si="26"/>
        <v>0</v>
      </c>
      <c r="AU14" s="506">
        <f t="shared" si="20"/>
      </c>
      <c r="AV14" s="120"/>
      <c r="AW14" s="500" t="str">
        <f t="shared" si="27"/>
        <v> / </v>
      </c>
      <c r="AX14" s="120"/>
      <c r="AY14" s="120"/>
      <c r="AZ14" s="120"/>
      <c r="BA14" s="120"/>
    </row>
    <row r="15" spans="1:53" s="446" customFormat="1" ht="25.5" customHeight="1">
      <c r="A15" s="553"/>
      <c r="B15" s="555">
        <v>4</v>
      </c>
      <c r="C15" s="575"/>
      <c r="D15" s="576"/>
      <c r="E15" s="442"/>
      <c r="F15" s="443"/>
      <c r="G15" s="444"/>
      <c r="H15" s="442"/>
      <c r="I15" s="443"/>
      <c r="J15" s="575"/>
      <c r="K15" s="576"/>
      <c r="L15" s="442"/>
      <c r="M15" s="443"/>
      <c r="N15" s="444"/>
      <c r="O15" s="442"/>
      <c r="P15" s="443"/>
      <c r="Q15" s="571">
        <f t="shared" si="0"/>
        <v>0</v>
      </c>
      <c r="R15" s="572">
        <f t="shared" si="1"/>
        <v>0</v>
      </c>
      <c r="S15" s="527"/>
      <c r="T15" s="528"/>
      <c r="U15" s="529"/>
      <c r="V15" s="445">
        <f t="shared" si="2"/>
        <v>100</v>
      </c>
      <c r="W15" s="504">
        <f t="shared" si="21"/>
        <v>0</v>
      </c>
      <c r="X15" s="504">
        <f t="shared" si="3"/>
        <v>0</v>
      </c>
      <c r="Y15" s="504">
        <f t="shared" si="4"/>
      </c>
      <c r="Z15" s="504">
        <f t="shared" si="5"/>
        <v>0</v>
      </c>
      <c r="AA15" s="504">
        <f t="shared" si="6"/>
      </c>
      <c r="AB15" s="505">
        <f t="shared" si="7"/>
      </c>
      <c r="AC15" s="504">
        <f t="shared" si="22"/>
      </c>
      <c r="AD15" s="505">
        <f t="shared" si="8"/>
      </c>
      <c r="AE15" s="504">
        <f t="shared" si="9"/>
        <v>0</v>
      </c>
      <c r="AF15" s="504">
        <f t="shared" si="10"/>
        <v>0</v>
      </c>
      <c r="AG15" s="504">
        <f t="shared" si="23"/>
        <v>0</v>
      </c>
      <c r="AH15" s="506">
        <f t="shared" si="11"/>
      </c>
      <c r="AI15" s="120"/>
      <c r="AJ15" s="504">
        <f t="shared" si="24"/>
        <v>0</v>
      </c>
      <c r="AK15" s="504">
        <f t="shared" si="12"/>
        <v>0</v>
      </c>
      <c r="AL15" s="504">
        <f t="shared" si="13"/>
      </c>
      <c r="AM15" s="504">
        <f t="shared" si="14"/>
        <v>0</v>
      </c>
      <c r="AN15" s="504">
        <f t="shared" si="15"/>
      </c>
      <c r="AO15" s="505">
        <f t="shared" si="16"/>
      </c>
      <c r="AP15" s="504">
        <f t="shared" si="25"/>
      </c>
      <c r="AQ15" s="505">
        <f t="shared" si="17"/>
      </c>
      <c r="AR15" s="504">
        <f t="shared" si="18"/>
        <v>0</v>
      </c>
      <c r="AS15" s="504">
        <f t="shared" si="19"/>
        <v>0</v>
      </c>
      <c r="AT15" s="504">
        <f t="shared" si="26"/>
        <v>0</v>
      </c>
      <c r="AU15" s="506">
        <f t="shared" si="20"/>
      </c>
      <c r="AV15" s="120"/>
      <c r="AW15" s="500" t="str">
        <f t="shared" si="27"/>
        <v> / </v>
      </c>
      <c r="AX15" s="120"/>
      <c r="AY15" s="120"/>
      <c r="AZ15" s="120"/>
      <c r="BA15" s="120"/>
    </row>
    <row r="16" spans="1:53" s="446" customFormat="1" ht="25.5" customHeight="1">
      <c r="A16" s="553"/>
      <c r="B16" s="555">
        <v>5</v>
      </c>
      <c r="C16" s="575"/>
      <c r="D16" s="576"/>
      <c r="E16" s="442"/>
      <c r="F16" s="443"/>
      <c r="G16" s="444"/>
      <c r="H16" s="442"/>
      <c r="I16" s="443"/>
      <c r="J16" s="575"/>
      <c r="K16" s="576"/>
      <c r="L16" s="442"/>
      <c r="M16" s="443"/>
      <c r="N16" s="444"/>
      <c r="O16" s="442"/>
      <c r="P16" s="443"/>
      <c r="Q16" s="571">
        <f t="shared" si="0"/>
        <v>0</v>
      </c>
      <c r="R16" s="572">
        <f t="shared" si="1"/>
        <v>0</v>
      </c>
      <c r="S16" s="527"/>
      <c r="T16" s="528"/>
      <c r="U16" s="529"/>
      <c r="V16" s="445">
        <f t="shared" si="2"/>
        <v>100</v>
      </c>
      <c r="W16" s="504">
        <f t="shared" si="21"/>
        <v>0</v>
      </c>
      <c r="X16" s="504">
        <f t="shared" si="3"/>
        <v>0</v>
      </c>
      <c r="Y16" s="504">
        <f t="shared" si="4"/>
      </c>
      <c r="Z16" s="504">
        <f t="shared" si="5"/>
        <v>0</v>
      </c>
      <c r="AA16" s="504">
        <f t="shared" si="6"/>
      </c>
      <c r="AB16" s="505">
        <f t="shared" si="7"/>
      </c>
      <c r="AC16" s="504">
        <f t="shared" si="22"/>
      </c>
      <c r="AD16" s="505">
        <f t="shared" si="8"/>
      </c>
      <c r="AE16" s="504">
        <f t="shared" si="9"/>
        <v>0</v>
      </c>
      <c r="AF16" s="504">
        <f t="shared" si="10"/>
        <v>0</v>
      </c>
      <c r="AG16" s="504">
        <f t="shared" si="23"/>
        <v>0</v>
      </c>
      <c r="AH16" s="506">
        <f t="shared" si="11"/>
      </c>
      <c r="AI16" s="120"/>
      <c r="AJ16" s="504">
        <f t="shared" si="24"/>
        <v>0</v>
      </c>
      <c r="AK16" s="504">
        <f t="shared" si="12"/>
        <v>0</v>
      </c>
      <c r="AL16" s="504">
        <f t="shared" si="13"/>
      </c>
      <c r="AM16" s="504">
        <f t="shared" si="14"/>
        <v>0</v>
      </c>
      <c r="AN16" s="504">
        <f t="shared" si="15"/>
      </c>
      <c r="AO16" s="505">
        <f t="shared" si="16"/>
      </c>
      <c r="AP16" s="504">
        <f t="shared" si="25"/>
      </c>
      <c r="AQ16" s="505">
        <f t="shared" si="17"/>
      </c>
      <c r="AR16" s="504">
        <f t="shared" si="18"/>
        <v>0</v>
      </c>
      <c r="AS16" s="504">
        <f t="shared" si="19"/>
        <v>0</v>
      </c>
      <c r="AT16" s="504">
        <f t="shared" si="26"/>
        <v>0</v>
      </c>
      <c r="AU16" s="506">
        <f t="shared" si="20"/>
      </c>
      <c r="AV16" s="120"/>
      <c r="AW16" s="500" t="str">
        <f t="shared" si="27"/>
        <v> / </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443"/>
      <c r="Q17" s="571">
        <f t="shared" si="0"/>
        <v>0</v>
      </c>
      <c r="R17" s="572">
        <f t="shared" si="1"/>
        <v>0</v>
      </c>
      <c r="S17" s="527"/>
      <c r="T17" s="528"/>
      <c r="U17" s="529"/>
      <c r="V17" s="445">
        <f t="shared" si="2"/>
        <v>100</v>
      </c>
      <c r="W17" s="504">
        <f t="shared" si="21"/>
        <v>0</v>
      </c>
      <c r="X17" s="504">
        <f t="shared" si="3"/>
        <v>0</v>
      </c>
      <c r="Y17" s="504">
        <f t="shared" si="4"/>
      </c>
      <c r="Z17" s="504">
        <f t="shared" si="5"/>
        <v>0</v>
      </c>
      <c r="AA17" s="504">
        <f t="shared" si="6"/>
      </c>
      <c r="AB17" s="505">
        <f t="shared" si="7"/>
      </c>
      <c r="AC17" s="504">
        <f t="shared" si="22"/>
      </c>
      <c r="AD17" s="505">
        <f t="shared" si="8"/>
      </c>
      <c r="AE17" s="504">
        <f t="shared" si="9"/>
        <v>0</v>
      </c>
      <c r="AF17" s="504">
        <f t="shared" si="10"/>
        <v>0</v>
      </c>
      <c r="AG17" s="504">
        <f t="shared" si="23"/>
        <v>0</v>
      </c>
      <c r="AH17" s="506">
        <f t="shared" si="11"/>
      </c>
      <c r="AI17" s="120"/>
      <c r="AJ17" s="504">
        <f t="shared" si="24"/>
        <v>0</v>
      </c>
      <c r="AK17" s="504">
        <f t="shared" si="12"/>
        <v>0</v>
      </c>
      <c r="AL17" s="504">
        <f t="shared" si="13"/>
      </c>
      <c r="AM17" s="504">
        <f t="shared" si="14"/>
        <v>0</v>
      </c>
      <c r="AN17" s="504">
        <f t="shared" si="15"/>
      </c>
      <c r="AO17" s="505">
        <f t="shared" si="16"/>
      </c>
      <c r="AP17" s="504">
        <f t="shared" si="25"/>
      </c>
      <c r="AQ17" s="505">
        <f t="shared" si="17"/>
      </c>
      <c r="AR17" s="504">
        <f t="shared" si="18"/>
        <v>0</v>
      </c>
      <c r="AS17" s="504">
        <f t="shared" si="19"/>
        <v>0</v>
      </c>
      <c r="AT17" s="504">
        <f t="shared" si="26"/>
        <v>0</v>
      </c>
      <c r="AU17" s="506">
        <f t="shared" si="20"/>
      </c>
      <c r="AV17" s="120"/>
      <c r="AW17" s="500" t="str">
        <f t="shared" si="27"/>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443"/>
      <c r="Q18" s="571">
        <f t="shared" si="0"/>
        <v>0</v>
      </c>
      <c r="R18" s="572">
        <f t="shared" si="1"/>
        <v>0</v>
      </c>
      <c r="S18" s="527"/>
      <c r="T18" s="528"/>
      <c r="U18" s="529"/>
      <c r="V18" s="445">
        <f t="shared" si="2"/>
        <v>100</v>
      </c>
      <c r="W18" s="504">
        <f t="shared" si="21"/>
        <v>0</v>
      </c>
      <c r="X18" s="504">
        <f t="shared" si="3"/>
        <v>0</v>
      </c>
      <c r="Y18" s="504">
        <f t="shared" si="4"/>
      </c>
      <c r="Z18" s="504">
        <f t="shared" si="5"/>
        <v>0</v>
      </c>
      <c r="AA18" s="504">
        <f t="shared" si="6"/>
      </c>
      <c r="AB18" s="505">
        <f t="shared" si="7"/>
      </c>
      <c r="AC18" s="504">
        <f t="shared" si="22"/>
      </c>
      <c r="AD18" s="505">
        <f t="shared" si="8"/>
      </c>
      <c r="AE18" s="504">
        <f t="shared" si="9"/>
        <v>0</v>
      </c>
      <c r="AF18" s="504">
        <f t="shared" si="10"/>
        <v>0</v>
      </c>
      <c r="AG18" s="504">
        <f t="shared" si="23"/>
        <v>0</v>
      </c>
      <c r="AH18" s="506">
        <f t="shared" si="11"/>
      </c>
      <c r="AI18" s="120"/>
      <c r="AJ18" s="504">
        <f t="shared" si="24"/>
        <v>0</v>
      </c>
      <c r="AK18" s="504">
        <f t="shared" si="12"/>
        <v>0</v>
      </c>
      <c r="AL18" s="504">
        <f t="shared" si="13"/>
      </c>
      <c r="AM18" s="504">
        <f t="shared" si="14"/>
        <v>0</v>
      </c>
      <c r="AN18" s="504">
        <f t="shared" si="15"/>
      </c>
      <c r="AO18" s="505">
        <f t="shared" si="16"/>
      </c>
      <c r="AP18" s="504">
        <f t="shared" si="25"/>
      </c>
      <c r="AQ18" s="505">
        <f t="shared" si="17"/>
      </c>
      <c r="AR18" s="504">
        <f t="shared" si="18"/>
        <v>0</v>
      </c>
      <c r="AS18" s="504">
        <f t="shared" si="19"/>
        <v>0</v>
      </c>
      <c r="AT18" s="504">
        <f t="shared" si="26"/>
        <v>0</v>
      </c>
      <c r="AU18" s="506">
        <f t="shared" si="20"/>
      </c>
      <c r="AV18" s="120"/>
      <c r="AW18" s="500" t="str">
        <f t="shared" si="27"/>
        <v> / </v>
      </c>
      <c r="AX18" s="120"/>
      <c r="AY18" s="120"/>
      <c r="AZ18" s="120"/>
      <c r="BA18" s="120"/>
    </row>
    <row r="19" spans="1:53" s="446" customFormat="1" ht="25.5" customHeight="1">
      <c r="A19" s="553"/>
      <c r="B19" s="555">
        <v>8</v>
      </c>
      <c r="C19" s="575"/>
      <c r="D19" s="576"/>
      <c r="E19" s="442"/>
      <c r="F19" s="443"/>
      <c r="G19" s="444"/>
      <c r="H19" s="442"/>
      <c r="I19" s="443"/>
      <c r="J19" s="575"/>
      <c r="K19" s="576"/>
      <c r="L19" s="442"/>
      <c r="M19" s="443"/>
      <c r="N19" s="444"/>
      <c r="O19" s="442"/>
      <c r="P19" s="443"/>
      <c r="Q19" s="571">
        <f t="shared" si="0"/>
        <v>0</v>
      </c>
      <c r="R19" s="572">
        <f t="shared" si="1"/>
        <v>0</v>
      </c>
      <c r="S19" s="527"/>
      <c r="T19" s="528"/>
      <c r="U19" s="529"/>
      <c r="V19" s="445">
        <f t="shared" si="2"/>
        <v>100</v>
      </c>
      <c r="W19" s="504">
        <f t="shared" si="21"/>
        <v>0</v>
      </c>
      <c r="X19" s="504">
        <f t="shared" si="3"/>
        <v>0</v>
      </c>
      <c r="Y19" s="504">
        <f t="shared" si="4"/>
      </c>
      <c r="Z19" s="504">
        <f t="shared" si="5"/>
        <v>0</v>
      </c>
      <c r="AA19" s="504">
        <f t="shared" si="6"/>
      </c>
      <c r="AB19" s="505">
        <f t="shared" si="7"/>
      </c>
      <c r="AC19" s="504">
        <f t="shared" si="22"/>
      </c>
      <c r="AD19" s="505">
        <f t="shared" si="8"/>
      </c>
      <c r="AE19" s="504">
        <f t="shared" si="9"/>
        <v>0</v>
      </c>
      <c r="AF19" s="504">
        <f t="shared" si="10"/>
        <v>0</v>
      </c>
      <c r="AG19" s="504">
        <f t="shared" si="23"/>
        <v>0</v>
      </c>
      <c r="AH19" s="506">
        <f t="shared" si="11"/>
      </c>
      <c r="AI19" s="120"/>
      <c r="AJ19" s="504">
        <f t="shared" si="24"/>
        <v>0</v>
      </c>
      <c r="AK19" s="504">
        <f t="shared" si="12"/>
        <v>0</v>
      </c>
      <c r="AL19" s="504">
        <f t="shared" si="13"/>
      </c>
      <c r="AM19" s="504">
        <f t="shared" si="14"/>
        <v>0</v>
      </c>
      <c r="AN19" s="504">
        <f t="shared" si="15"/>
      </c>
      <c r="AO19" s="505">
        <f t="shared" si="16"/>
      </c>
      <c r="AP19" s="504">
        <f t="shared" si="25"/>
      </c>
      <c r="AQ19" s="505">
        <f t="shared" si="17"/>
      </c>
      <c r="AR19" s="504">
        <f t="shared" si="18"/>
        <v>0</v>
      </c>
      <c r="AS19" s="504">
        <f t="shared" si="19"/>
        <v>0</v>
      </c>
      <c r="AT19" s="504">
        <f t="shared" si="26"/>
        <v>0</v>
      </c>
      <c r="AU19" s="506">
        <f t="shared" si="20"/>
      </c>
      <c r="AV19" s="120"/>
      <c r="AW19" s="500" t="str">
        <f t="shared" si="27"/>
        <v> / </v>
      </c>
      <c r="AX19" s="120"/>
      <c r="AY19" s="120"/>
      <c r="AZ19" s="120"/>
      <c r="BA19" s="120"/>
    </row>
    <row r="20" spans="1:53" s="446" customFormat="1" ht="25.5" customHeight="1">
      <c r="A20" s="553"/>
      <c r="B20" s="555">
        <v>9</v>
      </c>
      <c r="C20" s="575"/>
      <c r="D20" s="576"/>
      <c r="E20" s="442"/>
      <c r="F20" s="443"/>
      <c r="G20" s="444"/>
      <c r="H20" s="442"/>
      <c r="I20" s="443"/>
      <c r="J20" s="575"/>
      <c r="K20" s="576"/>
      <c r="L20" s="442"/>
      <c r="M20" s="443"/>
      <c r="N20" s="444"/>
      <c r="O20" s="442"/>
      <c r="P20" s="443"/>
      <c r="Q20" s="571">
        <f t="shared" si="0"/>
        <v>0</v>
      </c>
      <c r="R20" s="572">
        <f t="shared" si="1"/>
        <v>0</v>
      </c>
      <c r="S20" s="527"/>
      <c r="T20" s="528"/>
      <c r="U20" s="529"/>
      <c r="V20" s="445">
        <f t="shared" si="2"/>
        <v>100</v>
      </c>
      <c r="W20" s="504">
        <f t="shared" si="21"/>
        <v>0</v>
      </c>
      <c r="X20" s="504">
        <f t="shared" si="3"/>
        <v>0</v>
      </c>
      <c r="Y20" s="504">
        <f t="shared" si="4"/>
      </c>
      <c r="Z20" s="504">
        <f t="shared" si="5"/>
        <v>0</v>
      </c>
      <c r="AA20" s="504">
        <f t="shared" si="6"/>
      </c>
      <c r="AB20" s="505">
        <f t="shared" si="7"/>
      </c>
      <c r="AC20" s="504">
        <f t="shared" si="22"/>
      </c>
      <c r="AD20" s="505">
        <f t="shared" si="8"/>
      </c>
      <c r="AE20" s="504">
        <f t="shared" si="9"/>
        <v>0</v>
      </c>
      <c r="AF20" s="504">
        <f t="shared" si="10"/>
        <v>0</v>
      </c>
      <c r="AG20" s="504">
        <f t="shared" si="23"/>
        <v>0</v>
      </c>
      <c r="AH20" s="506">
        <f t="shared" si="11"/>
      </c>
      <c r="AI20" s="120"/>
      <c r="AJ20" s="504">
        <f t="shared" si="24"/>
        <v>0</v>
      </c>
      <c r="AK20" s="504">
        <f t="shared" si="12"/>
        <v>0</v>
      </c>
      <c r="AL20" s="504">
        <f t="shared" si="13"/>
      </c>
      <c r="AM20" s="504">
        <f t="shared" si="14"/>
        <v>0</v>
      </c>
      <c r="AN20" s="504">
        <f t="shared" si="15"/>
      </c>
      <c r="AO20" s="505">
        <f t="shared" si="16"/>
      </c>
      <c r="AP20" s="504">
        <f t="shared" si="25"/>
      </c>
      <c r="AQ20" s="505">
        <f t="shared" si="17"/>
      </c>
      <c r="AR20" s="504">
        <f t="shared" si="18"/>
        <v>0</v>
      </c>
      <c r="AS20" s="504">
        <f t="shared" si="19"/>
        <v>0</v>
      </c>
      <c r="AT20" s="504">
        <f t="shared" si="26"/>
        <v>0</v>
      </c>
      <c r="AU20" s="506">
        <f t="shared" si="20"/>
      </c>
      <c r="AV20" s="120"/>
      <c r="AW20" s="500" t="str">
        <f t="shared" si="27"/>
        <v> / </v>
      </c>
      <c r="AX20" s="120"/>
      <c r="AY20" s="120"/>
      <c r="AZ20" s="120"/>
      <c r="BA20" s="120"/>
    </row>
    <row r="21" spans="1:53" s="446" customFormat="1" ht="25.5" customHeight="1">
      <c r="A21" s="553"/>
      <c r="B21" s="555">
        <v>10</v>
      </c>
      <c r="C21" s="575"/>
      <c r="D21" s="576"/>
      <c r="E21" s="442"/>
      <c r="F21" s="443"/>
      <c r="G21" s="444"/>
      <c r="H21" s="442"/>
      <c r="I21" s="443"/>
      <c r="J21" s="575"/>
      <c r="K21" s="576"/>
      <c r="L21" s="442"/>
      <c r="M21" s="443"/>
      <c r="N21" s="444"/>
      <c r="O21" s="442"/>
      <c r="P21" s="443"/>
      <c r="Q21" s="571">
        <f t="shared" si="0"/>
        <v>0</v>
      </c>
      <c r="R21" s="572">
        <f t="shared" si="1"/>
        <v>0</v>
      </c>
      <c r="S21" s="527"/>
      <c r="T21" s="528"/>
      <c r="U21" s="529"/>
      <c r="V21" s="445">
        <f t="shared" si="2"/>
        <v>100</v>
      </c>
      <c r="W21" s="504">
        <f t="shared" si="21"/>
        <v>0</v>
      </c>
      <c r="X21" s="504">
        <f t="shared" si="3"/>
        <v>0</v>
      </c>
      <c r="Y21" s="504">
        <f t="shared" si="4"/>
      </c>
      <c r="Z21" s="504">
        <f t="shared" si="5"/>
        <v>0</v>
      </c>
      <c r="AA21" s="504">
        <f t="shared" si="6"/>
      </c>
      <c r="AB21" s="505">
        <f t="shared" si="7"/>
      </c>
      <c r="AC21" s="504">
        <f t="shared" si="22"/>
      </c>
      <c r="AD21" s="505">
        <f t="shared" si="8"/>
      </c>
      <c r="AE21" s="504">
        <f t="shared" si="9"/>
        <v>0</v>
      </c>
      <c r="AF21" s="504">
        <f t="shared" si="10"/>
        <v>0</v>
      </c>
      <c r="AG21" s="504">
        <f t="shared" si="23"/>
        <v>0</v>
      </c>
      <c r="AH21" s="506">
        <f t="shared" si="11"/>
      </c>
      <c r="AI21" s="120"/>
      <c r="AJ21" s="504">
        <f t="shared" si="24"/>
        <v>0</v>
      </c>
      <c r="AK21" s="504">
        <f t="shared" si="12"/>
        <v>0</v>
      </c>
      <c r="AL21" s="504">
        <f t="shared" si="13"/>
      </c>
      <c r="AM21" s="504">
        <f t="shared" si="14"/>
        <v>0</v>
      </c>
      <c r="AN21" s="504">
        <f t="shared" si="15"/>
      </c>
      <c r="AO21" s="505">
        <f t="shared" si="16"/>
      </c>
      <c r="AP21" s="504">
        <f t="shared" si="25"/>
      </c>
      <c r="AQ21" s="505">
        <f t="shared" si="17"/>
      </c>
      <c r="AR21" s="504">
        <f t="shared" si="18"/>
        <v>0</v>
      </c>
      <c r="AS21" s="504">
        <f t="shared" si="19"/>
        <v>0</v>
      </c>
      <c r="AT21" s="504">
        <f t="shared" si="26"/>
        <v>0</v>
      </c>
      <c r="AU21" s="506">
        <f t="shared" si="20"/>
      </c>
      <c r="AV21" s="120"/>
      <c r="AW21" s="500" t="str">
        <f t="shared" si="27"/>
        <v> / </v>
      </c>
      <c r="AX21" s="120"/>
      <c r="AY21" s="120"/>
      <c r="AZ21" s="120"/>
      <c r="BA21" s="120"/>
    </row>
    <row r="22" spans="1:53" s="446" customFormat="1" ht="25.5" customHeight="1">
      <c r="A22" s="553"/>
      <c r="B22" s="555">
        <v>11</v>
      </c>
      <c r="C22" s="575"/>
      <c r="D22" s="576"/>
      <c r="E22" s="442"/>
      <c r="F22" s="443"/>
      <c r="G22" s="444"/>
      <c r="H22" s="442"/>
      <c r="I22" s="443"/>
      <c r="J22" s="575"/>
      <c r="K22" s="576"/>
      <c r="L22" s="442"/>
      <c r="M22" s="443"/>
      <c r="N22" s="444"/>
      <c r="O22" s="442"/>
      <c r="P22" s="443"/>
      <c r="Q22" s="571">
        <f t="shared" si="0"/>
        <v>0</v>
      </c>
      <c r="R22" s="572">
        <f t="shared" si="1"/>
        <v>0</v>
      </c>
      <c r="S22" s="527"/>
      <c r="T22" s="528"/>
      <c r="U22" s="529"/>
      <c r="V22" s="445">
        <f t="shared" si="2"/>
        <v>100</v>
      </c>
      <c r="W22" s="504">
        <f t="shared" si="21"/>
        <v>0</v>
      </c>
      <c r="X22" s="504">
        <f t="shared" si="3"/>
        <v>0</v>
      </c>
      <c r="Y22" s="504">
        <f t="shared" si="4"/>
      </c>
      <c r="Z22" s="504">
        <f t="shared" si="5"/>
        <v>0</v>
      </c>
      <c r="AA22" s="504">
        <f t="shared" si="6"/>
      </c>
      <c r="AB22" s="505">
        <f t="shared" si="7"/>
      </c>
      <c r="AC22" s="504">
        <f t="shared" si="22"/>
      </c>
      <c r="AD22" s="505">
        <f t="shared" si="8"/>
      </c>
      <c r="AE22" s="504">
        <f t="shared" si="9"/>
        <v>0</v>
      </c>
      <c r="AF22" s="504">
        <f t="shared" si="10"/>
        <v>0</v>
      </c>
      <c r="AG22" s="504">
        <f t="shared" si="23"/>
        <v>0</v>
      </c>
      <c r="AH22" s="506">
        <f t="shared" si="11"/>
      </c>
      <c r="AI22" s="120"/>
      <c r="AJ22" s="504">
        <f t="shared" si="24"/>
        <v>0</v>
      </c>
      <c r="AK22" s="504">
        <f t="shared" si="12"/>
        <v>0</v>
      </c>
      <c r="AL22" s="504">
        <f t="shared" si="13"/>
      </c>
      <c r="AM22" s="504">
        <f t="shared" si="14"/>
        <v>0</v>
      </c>
      <c r="AN22" s="504">
        <f t="shared" si="15"/>
      </c>
      <c r="AO22" s="505">
        <f t="shared" si="16"/>
      </c>
      <c r="AP22" s="504">
        <f t="shared" si="25"/>
      </c>
      <c r="AQ22" s="505">
        <f t="shared" si="17"/>
      </c>
      <c r="AR22" s="504">
        <f t="shared" si="18"/>
        <v>0</v>
      </c>
      <c r="AS22" s="504">
        <f t="shared" si="19"/>
        <v>0</v>
      </c>
      <c r="AT22" s="504">
        <f t="shared" si="26"/>
        <v>0</v>
      </c>
      <c r="AU22" s="506">
        <f t="shared" si="20"/>
      </c>
      <c r="AV22" s="120"/>
      <c r="AW22" s="500" t="str">
        <f t="shared" si="27"/>
        <v> / </v>
      </c>
      <c r="AX22" s="120"/>
      <c r="AY22" s="120"/>
      <c r="AZ22" s="120"/>
      <c r="BA22" s="120"/>
    </row>
    <row r="23" spans="1:53" s="446" customFormat="1" ht="25.5" customHeight="1">
      <c r="A23" s="553"/>
      <c r="B23" s="555">
        <v>12</v>
      </c>
      <c r="C23" s="575"/>
      <c r="D23" s="576"/>
      <c r="E23" s="442"/>
      <c r="F23" s="443"/>
      <c r="G23" s="444"/>
      <c r="H23" s="442"/>
      <c r="I23" s="443"/>
      <c r="J23" s="575"/>
      <c r="K23" s="576"/>
      <c r="L23" s="442"/>
      <c r="M23" s="443"/>
      <c r="N23" s="444"/>
      <c r="O23" s="442"/>
      <c r="P23" s="443"/>
      <c r="Q23" s="571">
        <f t="shared" si="0"/>
        <v>0</v>
      </c>
      <c r="R23" s="572">
        <f t="shared" si="1"/>
        <v>0</v>
      </c>
      <c r="S23" s="527"/>
      <c r="T23" s="528"/>
      <c r="U23" s="529"/>
      <c r="V23" s="445">
        <f t="shared" si="2"/>
        <v>100</v>
      </c>
      <c r="W23" s="504">
        <f t="shared" si="21"/>
        <v>0</v>
      </c>
      <c r="X23" s="504">
        <f t="shared" si="3"/>
        <v>0</v>
      </c>
      <c r="Y23" s="504">
        <f t="shared" si="4"/>
      </c>
      <c r="Z23" s="504">
        <f t="shared" si="5"/>
        <v>0</v>
      </c>
      <c r="AA23" s="504">
        <f t="shared" si="6"/>
      </c>
      <c r="AB23" s="505">
        <f t="shared" si="7"/>
      </c>
      <c r="AC23" s="504">
        <f t="shared" si="22"/>
      </c>
      <c r="AD23" s="505">
        <f t="shared" si="8"/>
      </c>
      <c r="AE23" s="504">
        <f t="shared" si="9"/>
        <v>0</v>
      </c>
      <c r="AF23" s="504">
        <f t="shared" si="10"/>
        <v>0</v>
      </c>
      <c r="AG23" s="504">
        <f t="shared" si="23"/>
        <v>0</v>
      </c>
      <c r="AH23" s="506">
        <f t="shared" si="11"/>
      </c>
      <c r="AI23" s="120"/>
      <c r="AJ23" s="504">
        <f t="shared" si="24"/>
        <v>0</v>
      </c>
      <c r="AK23" s="504">
        <f t="shared" si="12"/>
        <v>0</v>
      </c>
      <c r="AL23" s="504">
        <f t="shared" si="13"/>
      </c>
      <c r="AM23" s="504">
        <f t="shared" si="14"/>
        <v>0</v>
      </c>
      <c r="AN23" s="504">
        <f t="shared" si="15"/>
      </c>
      <c r="AO23" s="505">
        <f t="shared" si="16"/>
      </c>
      <c r="AP23" s="504">
        <f t="shared" si="25"/>
      </c>
      <c r="AQ23" s="505">
        <f t="shared" si="17"/>
      </c>
      <c r="AR23" s="504">
        <f t="shared" si="18"/>
        <v>0</v>
      </c>
      <c r="AS23" s="504">
        <f t="shared" si="19"/>
        <v>0</v>
      </c>
      <c r="AT23" s="504">
        <f t="shared" si="26"/>
        <v>0</v>
      </c>
      <c r="AU23" s="506">
        <f t="shared" si="20"/>
      </c>
      <c r="AV23" s="120"/>
      <c r="AW23" s="500" t="str">
        <f t="shared" si="27"/>
        <v> / </v>
      </c>
      <c r="AX23" s="120"/>
      <c r="AY23" s="120"/>
      <c r="AZ23" s="120"/>
      <c r="BA23" s="120"/>
    </row>
    <row r="24" spans="1:53" s="446" customFormat="1" ht="25.5" customHeight="1">
      <c r="A24" s="553"/>
      <c r="B24" s="555">
        <v>13</v>
      </c>
      <c r="C24" s="575"/>
      <c r="D24" s="576"/>
      <c r="E24" s="442"/>
      <c r="F24" s="443"/>
      <c r="G24" s="444"/>
      <c r="H24" s="442"/>
      <c r="I24" s="443"/>
      <c r="J24" s="575"/>
      <c r="K24" s="576"/>
      <c r="L24" s="442"/>
      <c r="M24" s="443"/>
      <c r="N24" s="444"/>
      <c r="O24" s="442"/>
      <c r="P24" s="443"/>
      <c r="Q24" s="571">
        <f t="shared" si="0"/>
        <v>0</v>
      </c>
      <c r="R24" s="572">
        <f t="shared" si="1"/>
        <v>0</v>
      </c>
      <c r="S24" s="527"/>
      <c r="T24" s="528"/>
      <c r="U24" s="529"/>
      <c r="V24" s="445">
        <f t="shared" si="2"/>
        <v>100</v>
      </c>
      <c r="W24" s="504">
        <f t="shared" si="21"/>
        <v>0</v>
      </c>
      <c r="X24" s="504">
        <f t="shared" si="3"/>
        <v>0</v>
      </c>
      <c r="Y24" s="504">
        <f t="shared" si="4"/>
      </c>
      <c r="Z24" s="504">
        <f t="shared" si="5"/>
        <v>0</v>
      </c>
      <c r="AA24" s="504">
        <f t="shared" si="6"/>
      </c>
      <c r="AB24" s="505">
        <f t="shared" si="7"/>
      </c>
      <c r="AC24" s="504">
        <f t="shared" si="22"/>
      </c>
      <c r="AD24" s="505">
        <f t="shared" si="8"/>
      </c>
      <c r="AE24" s="504">
        <f t="shared" si="9"/>
        <v>0</v>
      </c>
      <c r="AF24" s="504">
        <f t="shared" si="10"/>
        <v>0</v>
      </c>
      <c r="AG24" s="504">
        <f t="shared" si="23"/>
        <v>0</v>
      </c>
      <c r="AH24" s="506">
        <f t="shared" si="11"/>
      </c>
      <c r="AI24" s="120"/>
      <c r="AJ24" s="504">
        <f t="shared" si="24"/>
        <v>0</v>
      </c>
      <c r="AK24" s="504">
        <f t="shared" si="12"/>
        <v>0</v>
      </c>
      <c r="AL24" s="504">
        <f t="shared" si="13"/>
      </c>
      <c r="AM24" s="504">
        <f t="shared" si="14"/>
        <v>0</v>
      </c>
      <c r="AN24" s="504">
        <f t="shared" si="15"/>
      </c>
      <c r="AO24" s="505">
        <f t="shared" si="16"/>
      </c>
      <c r="AP24" s="504">
        <f t="shared" si="25"/>
      </c>
      <c r="AQ24" s="505">
        <f t="shared" si="17"/>
      </c>
      <c r="AR24" s="504">
        <f t="shared" si="18"/>
        <v>0</v>
      </c>
      <c r="AS24" s="504">
        <f t="shared" si="19"/>
        <v>0</v>
      </c>
      <c r="AT24" s="504">
        <f t="shared" si="26"/>
        <v>0</v>
      </c>
      <c r="AU24" s="506">
        <f t="shared" si="20"/>
      </c>
      <c r="AV24" s="120"/>
      <c r="AW24" s="500" t="str">
        <f t="shared" si="27"/>
        <v> / </v>
      </c>
      <c r="AX24" s="120"/>
      <c r="AY24" s="120"/>
      <c r="AZ24" s="120"/>
      <c r="BA24" s="120"/>
    </row>
    <row r="25" spans="1:53" s="446" customFormat="1" ht="25.5" customHeight="1">
      <c r="A25" s="553"/>
      <c r="B25" s="555">
        <v>14</v>
      </c>
      <c r="C25" s="575"/>
      <c r="D25" s="576"/>
      <c r="E25" s="442"/>
      <c r="F25" s="443"/>
      <c r="G25" s="444"/>
      <c r="H25" s="442"/>
      <c r="I25" s="443"/>
      <c r="J25" s="575"/>
      <c r="K25" s="576"/>
      <c r="L25" s="442"/>
      <c r="M25" s="443"/>
      <c r="N25" s="444"/>
      <c r="O25" s="442"/>
      <c r="P25" s="443"/>
      <c r="Q25" s="571">
        <f t="shared" si="0"/>
        <v>0</v>
      </c>
      <c r="R25" s="572">
        <f t="shared" si="1"/>
        <v>0</v>
      </c>
      <c r="S25" s="527"/>
      <c r="T25" s="528"/>
      <c r="U25" s="529"/>
      <c r="V25" s="445">
        <f t="shared" si="2"/>
        <v>100</v>
      </c>
      <c r="W25" s="504">
        <f t="shared" si="21"/>
        <v>0</v>
      </c>
      <c r="X25" s="504">
        <f t="shared" si="3"/>
        <v>0</v>
      </c>
      <c r="Y25" s="504">
        <f t="shared" si="4"/>
      </c>
      <c r="Z25" s="504">
        <f t="shared" si="5"/>
        <v>0</v>
      </c>
      <c r="AA25" s="504">
        <f t="shared" si="6"/>
      </c>
      <c r="AB25" s="505">
        <f t="shared" si="7"/>
      </c>
      <c r="AC25" s="504">
        <f t="shared" si="22"/>
      </c>
      <c r="AD25" s="505">
        <f t="shared" si="8"/>
      </c>
      <c r="AE25" s="504">
        <f t="shared" si="9"/>
        <v>0</v>
      </c>
      <c r="AF25" s="504">
        <f t="shared" si="10"/>
        <v>0</v>
      </c>
      <c r="AG25" s="504">
        <f t="shared" si="23"/>
        <v>0</v>
      </c>
      <c r="AH25" s="506">
        <f t="shared" si="11"/>
      </c>
      <c r="AI25" s="120"/>
      <c r="AJ25" s="504">
        <f t="shared" si="24"/>
        <v>0</v>
      </c>
      <c r="AK25" s="504">
        <f t="shared" si="12"/>
        <v>0</v>
      </c>
      <c r="AL25" s="504">
        <f t="shared" si="13"/>
      </c>
      <c r="AM25" s="504">
        <f t="shared" si="14"/>
        <v>0</v>
      </c>
      <c r="AN25" s="504">
        <f t="shared" si="15"/>
      </c>
      <c r="AO25" s="505">
        <f t="shared" si="16"/>
      </c>
      <c r="AP25" s="504">
        <f t="shared" si="25"/>
      </c>
      <c r="AQ25" s="505">
        <f t="shared" si="17"/>
      </c>
      <c r="AR25" s="504">
        <f t="shared" si="18"/>
        <v>0</v>
      </c>
      <c r="AS25" s="504">
        <f t="shared" si="19"/>
        <v>0</v>
      </c>
      <c r="AT25" s="504">
        <f t="shared" si="26"/>
        <v>0</v>
      </c>
      <c r="AU25" s="506">
        <f t="shared" si="20"/>
      </c>
      <c r="AV25" s="120"/>
      <c r="AW25" s="500" t="str">
        <f t="shared" si="27"/>
        <v> / </v>
      </c>
      <c r="AX25" s="120"/>
      <c r="AY25" s="120"/>
      <c r="AZ25" s="120"/>
      <c r="BA25" s="120"/>
    </row>
    <row r="26" spans="1:53" s="446" customFormat="1" ht="25.5" customHeight="1">
      <c r="A26" s="553"/>
      <c r="B26" s="555">
        <v>15</v>
      </c>
      <c r="C26" s="575"/>
      <c r="D26" s="576"/>
      <c r="E26" s="442"/>
      <c r="F26" s="443"/>
      <c r="G26" s="444"/>
      <c r="H26" s="442"/>
      <c r="I26" s="443"/>
      <c r="J26" s="575"/>
      <c r="K26" s="576"/>
      <c r="L26" s="442"/>
      <c r="M26" s="443"/>
      <c r="N26" s="444"/>
      <c r="O26" s="442"/>
      <c r="P26" s="443"/>
      <c r="Q26" s="571">
        <f t="shared" si="0"/>
        <v>0</v>
      </c>
      <c r="R26" s="572">
        <f t="shared" si="1"/>
        <v>0</v>
      </c>
      <c r="S26" s="527"/>
      <c r="T26" s="528"/>
      <c r="U26" s="529"/>
      <c r="V26" s="445">
        <f t="shared" si="2"/>
        <v>100</v>
      </c>
      <c r="W26" s="504">
        <f t="shared" si="21"/>
        <v>0</v>
      </c>
      <c r="X26" s="504">
        <f t="shared" si="3"/>
        <v>0</v>
      </c>
      <c r="Y26" s="504">
        <f t="shared" si="4"/>
      </c>
      <c r="Z26" s="504">
        <f t="shared" si="5"/>
        <v>0</v>
      </c>
      <c r="AA26" s="504">
        <f t="shared" si="6"/>
      </c>
      <c r="AB26" s="505">
        <f t="shared" si="7"/>
      </c>
      <c r="AC26" s="504">
        <f t="shared" si="22"/>
      </c>
      <c r="AD26" s="505">
        <f t="shared" si="8"/>
      </c>
      <c r="AE26" s="504">
        <f t="shared" si="9"/>
        <v>0</v>
      </c>
      <c r="AF26" s="504">
        <f t="shared" si="10"/>
        <v>0</v>
      </c>
      <c r="AG26" s="504">
        <f t="shared" si="23"/>
        <v>0</v>
      </c>
      <c r="AH26" s="506">
        <f t="shared" si="11"/>
      </c>
      <c r="AI26" s="120"/>
      <c r="AJ26" s="504">
        <f t="shared" si="24"/>
        <v>0</v>
      </c>
      <c r="AK26" s="504">
        <f t="shared" si="12"/>
        <v>0</v>
      </c>
      <c r="AL26" s="504">
        <f t="shared" si="13"/>
      </c>
      <c r="AM26" s="504">
        <f t="shared" si="14"/>
        <v>0</v>
      </c>
      <c r="AN26" s="504">
        <f t="shared" si="15"/>
      </c>
      <c r="AO26" s="505">
        <f t="shared" si="16"/>
      </c>
      <c r="AP26" s="504">
        <f t="shared" si="25"/>
      </c>
      <c r="AQ26" s="505">
        <f t="shared" si="17"/>
      </c>
      <c r="AR26" s="504">
        <f t="shared" si="18"/>
        <v>0</v>
      </c>
      <c r="AS26" s="504">
        <f t="shared" si="19"/>
        <v>0</v>
      </c>
      <c r="AT26" s="504">
        <f t="shared" si="26"/>
        <v>0</v>
      </c>
      <c r="AU26" s="506">
        <f t="shared" si="20"/>
      </c>
      <c r="AV26" s="120"/>
      <c r="AW26" s="500" t="str">
        <f t="shared" si="27"/>
        <v> / </v>
      </c>
      <c r="AX26" s="120"/>
      <c r="AY26" s="120"/>
      <c r="AZ26" s="120"/>
      <c r="BA26" s="120"/>
    </row>
    <row r="27" spans="1:53" s="446" customFormat="1" ht="25.5" customHeight="1">
      <c r="A27" s="553"/>
      <c r="B27" s="555">
        <v>16</v>
      </c>
      <c r="C27" s="575"/>
      <c r="D27" s="576"/>
      <c r="E27" s="442"/>
      <c r="F27" s="443"/>
      <c r="G27" s="444"/>
      <c r="H27" s="442"/>
      <c r="I27" s="443"/>
      <c r="J27" s="575"/>
      <c r="K27" s="576"/>
      <c r="L27" s="442"/>
      <c r="M27" s="443"/>
      <c r="N27" s="444"/>
      <c r="O27" s="442"/>
      <c r="P27" s="443"/>
      <c r="Q27" s="571">
        <f t="shared" si="0"/>
        <v>0</v>
      </c>
      <c r="R27" s="572">
        <f t="shared" si="1"/>
        <v>0</v>
      </c>
      <c r="S27" s="527"/>
      <c r="T27" s="528"/>
      <c r="U27" s="529"/>
      <c r="V27" s="445">
        <f t="shared" si="2"/>
        <v>100</v>
      </c>
      <c r="W27" s="504">
        <f t="shared" si="21"/>
        <v>0</v>
      </c>
      <c r="X27" s="504">
        <f t="shared" si="3"/>
        <v>0</v>
      </c>
      <c r="Y27" s="504">
        <f t="shared" si="4"/>
      </c>
      <c r="Z27" s="504">
        <f t="shared" si="5"/>
        <v>0</v>
      </c>
      <c r="AA27" s="504">
        <f t="shared" si="6"/>
      </c>
      <c r="AB27" s="505">
        <f t="shared" si="7"/>
      </c>
      <c r="AC27" s="504">
        <f t="shared" si="22"/>
      </c>
      <c r="AD27" s="505">
        <f t="shared" si="8"/>
      </c>
      <c r="AE27" s="504">
        <f t="shared" si="9"/>
        <v>0</v>
      </c>
      <c r="AF27" s="504">
        <f t="shared" si="10"/>
        <v>0</v>
      </c>
      <c r="AG27" s="504">
        <f t="shared" si="23"/>
        <v>0</v>
      </c>
      <c r="AH27" s="506">
        <f t="shared" si="11"/>
      </c>
      <c r="AI27" s="120"/>
      <c r="AJ27" s="504">
        <f t="shared" si="24"/>
        <v>0</v>
      </c>
      <c r="AK27" s="504">
        <f t="shared" si="12"/>
        <v>0</v>
      </c>
      <c r="AL27" s="504">
        <f t="shared" si="13"/>
      </c>
      <c r="AM27" s="504">
        <f t="shared" si="14"/>
        <v>0</v>
      </c>
      <c r="AN27" s="504">
        <f t="shared" si="15"/>
      </c>
      <c r="AO27" s="505">
        <f t="shared" si="16"/>
      </c>
      <c r="AP27" s="504">
        <f t="shared" si="25"/>
      </c>
      <c r="AQ27" s="505">
        <f t="shared" si="17"/>
      </c>
      <c r="AR27" s="504">
        <f t="shared" si="18"/>
        <v>0</v>
      </c>
      <c r="AS27" s="504">
        <f t="shared" si="19"/>
        <v>0</v>
      </c>
      <c r="AT27" s="504">
        <f t="shared" si="26"/>
        <v>0</v>
      </c>
      <c r="AU27" s="506">
        <f t="shared" si="20"/>
      </c>
      <c r="AV27" s="120"/>
      <c r="AW27" s="500" t="str">
        <f t="shared" si="27"/>
        <v> / </v>
      </c>
      <c r="AX27" s="120"/>
      <c r="AY27" s="120"/>
      <c r="AZ27" s="120"/>
      <c r="BA27" s="120"/>
    </row>
    <row r="28" spans="1:53" s="446" customFormat="1" ht="25.5" customHeight="1">
      <c r="A28" s="553"/>
      <c r="B28" s="555">
        <v>17</v>
      </c>
      <c r="C28" s="575"/>
      <c r="D28" s="576"/>
      <c r="E28" s="442"/>
      <c r="F28" s="443"/>
      <c r="G28" s="444"/>
      <c r="H28" s="442"/>
      <c r="I28" s="443"/>
      <c r="J28" s="575"/>
      <c r="K28" s="576"/>
      <c r="L28" s="442"/>
      <c r="M28" s="443"/>
      <c r="N28" s="444"/>
      <c r="O28" s="442"/>
      <c r="P28" s="443"/>
      <c r="Q28" s="571">
        <f t="shared" si="0"/>
        <v>0</v>
      </c>
      <c r="R28" s="572">
        <f t="shared" si="1"/>
        <v>0</v>
      </c>
      <c r="S28" s="527"/>
      <c r="T28" s="528"/>
      <c r="U28" s="529"/>
      <c r="V28" s="445">
        <f t="shared" si="2"/>
        <v>100</v>
      </c>
      <c r="W28" s="504">
        <f t="shared" si="21"/>
        <v>0</v>
      </c>
      <c r="X28" s="504">
        <f t="shared" si="3"/>
        <v>0</v>
      </c>
      <c r="Y28" s="504">
        <f t="shared" si="4"/>
      </c>
      <c r="Z28" s="504">
        <f t="shared" si="5"/>
        <v>0</v>
      </c>
      <c r="AA28" s="504">
        <f t="shared" si="6"/>
      </c>
      <c r="AB28" s="505">
        <f t="shared" si="7"/>
      </c>
      <c r="AC28" s="504">
        <f t="shared" si="22"/>
      </c>
      <c r="AD28" s="505">
        <f t="shared" si="8"/>
      </c>
      <c r="AE28" s="504">
        <f t="shared" si="9"/>
        <v>0</v>
      </c>
      <c r="AF28" s="504">
        <f t="shared" si="10"/>
        <v>0</v>
      </c>
      <c r="AG28" s="504">
        <f t="shared" si="23"/>
        <v>0</v>
      </c>
      <c r="AH28" s="506">
        <f t="shared" si="11"/>
      </c>
      <c r="AI28" s="120"/>
      <c r="AJ28" s="504">
        <f t="shared" si="24"/>
        <v>0</v>
      </c>
      <c r="AK28" s="504">
        <f t="shared" si="12"/>
        <v>0</v>
      </c>
      <c r="AL28" s="504">
        <f t="shared" si="13"/>
      </c>
      <c r="AM28" s="504">
        <f t="shared" si="14"/>
        <v>0</v>
      </c>
      <c r="AN28" s="504">
        <f t="shared" si="15"/>
      </c>
      <c r="AO28" s="505">
        <f t="shared" si="16"/>
      </c>
      <c r="AP28" s="504">
        <f t="shared" si="25"/>
      </c>
      <c r="AQ28" s="505">
        <f t="shared" si="17"/>
      </c>
      <c r="AR28" s="504">
        <f t="shared" si="18"/>
        <v>0</v>
      </c>
      <c r="AS28" s="504">
        <f t="shared" si="19"/>
        <v>0</v>
      </c>
      <c r="AT28" s="504">
        <f t="shared" si="26"/>
        <v>0</v>
      </c>
      <c r="AU28" s="506">
        <f t="shared" si="20"/>
      </c>
      <c r="AV28" s="120"/>
      <c r="AW28" s="500" t="str">
        <f t="shared" si="27"/>
        <v> / </v>
      </c>
      <c r="AX28" s="120"/>
      <c r="AY28" s="120"/>
      <c r="AZ28" s="120"/>
      <c r="BA28" s="120"/>
    </row>
    <row r="29" spans="1:53" s="446" customFormat="1" ht="25.5" customHeight="1">
      <c r="A29" s="553"/>
      <c r="B29" s="555">
        <v>18</v>
      </c>
      <c r="C29" s="575"/>
      <c r="D29" s="576"/>
      <c r="E29" s="442"/>
      <c r="F29" s="443"/>
      <c r="G29" s="444"/>
      <c r="H29" s="442"/>
      <c r="I29" s="443"/>
      <c r="J29" s="575"/>
      <c r="K29" s="576"/>
      <c r="L29" s="442"/>
      <c r="M29" s="443"/>
      <c r="N29" s="444"/>
      <c r="O29" s="442"/>
      <c r="P29" s="443"/>
      <c r="Q29" s="571">
        <f t="shared" si="0"/>
        <v>0</v>
      </c>
      <c r="R29" s="572">
        <f t="shared" si="1"/>
        <v>0</v>
      </c>
      <c r="S29" s="527"/>
      <c r="T29" s="528"/>
      <c r="U29" s="529"/>
      <c r="V29" s="445">
        <f t="shared" si="2"/>
        <v>100</v>
      </c>
      <c r="W29" s="504">
        <f t="shared" si="21"/>
        <v>0</v>
      </c>
      <c r="X29" s="504">
        <f t="shared" si="3"/>
        <v>0</v>
      </c>
      <c r="Y29" s="504">
        <f t="shared" si="4"/>
      </c>
      <c r="Z29" s="504">
        <f t="shared" si="5"/>
        <v>0</v>
      </c>
      <c r="AA29" s="504">
        <f t="shared" si="6"/>
      </c>
      <c r="AB29" s="505">
        <f t="shared" si="7"/>
      </c>
      <c r="AC29" s="504">
        <f t="shared" si="22"/>
      </c>
      <c r="AD29" s="505">
        <f t="shared" si="8"/>
      </c>
      <c r="AE29" s="504">
        <f t="shared" si="9"/>
        <v>0</v>
      </c>
      <c r="AF29" s="504">
        <f t="shared" si="10"/>
        <v>0</v>
      </c>
      <c r="AG29" s="504">
        <f t="shared" si="23"/>
        <v>0</v>
      </c>
      <c r="AH29" s="506">
        <f t="shared" si="11"/>
      </c>
      <c r="AI29" s="120"/>
      <c r="AJ29" s="504">
        <f t="shared" si="24"/>
        <v>0</v>
      </c>
      <c r="AK29" s="504">
        <f t="shared" si="12"/>
        <v>0</v>
      </c>
      <c r="AL29" s="504">
        <f t="shared" si="13"/>
      </c>
      <c r="AM29" s="504">
        <f t="shared" si="14"/>
        <v>0</v>
      </c>
      <c r="AN29" s="504">
        <f t="shared" si="15"/>
      </c>
      <c r="AO29" s="505">
        <f t="shared" si="16"/>
      </c>
      <c r="AP29" s="504">
        <f t="shared" si="25"/>
      </c>
      <c r="AQ29" s="505">
        <f t="shared" si="17"/>
      </c>
      <c r="AR29" s="504">
        <f t="shared" si="18"/>
        <v>0</v>
      </c>
      <c r="AS29" s="504">
        <f t="shared" si="19"/>
        <v>0</v>
      </c>
      <c r="AT29" s="504">
        <f t="shared" si="26"/>
        <v>0</v>
      </c>
      <c r="AU29" s="506">
        <f t="shared" si="20"/>
      </c>
      <c r="AV29" s="120"/>
      <c r="AW29" s="500" t="str">
        <f t="shared" si="27"/>
        <v> / </v>
      </c>
      <c r="AX29" s="120"/>
      <c r="AY29" s="120"/>
      <c r="AZ29" s="120"/>
      <c r="BA29" s="120"/>
    </row>
    <row r="30" spans="1:53" s="446" customFormat="1" ht="25.5" customHeight="1">
      <c r="A30" s="553"/>
      <c r="B30" s="555">
        <v>19</v>
      </c>
      <c r="C30" s="575"/>
      <c r="D30" s="576"/>
      <c r="E30" s="442"/>
      <c r="F30" s="443"/>
      <c r="G30" s="444"/>
      <c r="H30" s="442"/>
      <c r="I30" s="443"/>
      <c r="J30" s="575"/>
      <c r="K30" s="576"/>
      <c r="L30" s="442"/>
      <c r="M30" s="443"/>
      <c r="N30" s="444"/>
      <c r="O30" s="442"/>
      <c r="P30" s="443"/>
      <c r="Q30" s="571">
        <f t="shared" si="0"/>
        <v>0</v>
      </c>
      <c r="R30" s="572">
        <f t="shared" si="1"/>
        <v>0</v>
      </c>
      <c r="S30" s="527"/>
      <c r="T30" s="528"/>
      <c r="U30" s="529"/>
      <c r="V30" s="445">
        <f t="shared" si="2"/>
        <v>100</v>
      </c>
      <c r="W30" s="504">
        <f t="shared" si="21"/>
        <v>0</v>
      </c>
      <c r="X30" s="504">
        <f t="shared" si="3"/>
        <v>0</v>
      </c>
      <c r="Y30" s="504">
        <f t="shared" si="4"/>
      </c>
      <c r="Z30" s="504">
        <f t="shared" si="5"/>
        <v>0</v>
      </c>
      <c r="AA30" s="504">
        <f t="shared" si="6"/>
      </c>
      <c r="AB30" s="505">
        <f t="shared" si="7"/>
      </c>
      <c r="AC30" s="504">
        <f t="shared" si="22"/>
      </c>
      <c r="AD30" s="505">
        <f t="shared" si="8"/>
      </c>
      <c r="AE30" s="504">
        <f t="shared" si="9"/>
        <v>0</v>
      </c>
      <c r="AF30" s="504">
        <f t="shared" si="10"/>
        <v>0</v>
      </c>
      <c r="AG30" s="504">
        <f t="shared" si="23"/>
        <v>0</v>
      </c>
      <c r="AH30" s="506">
        <f t="shared" si="11"/>
      </c>
      <c r="AI30" s="120"/>
      <c r="AJ30" s="504">
        <f t="shared" si="24"/>
        <v>0</v>
      </c>
      <c r="AK30" s="504">
        <f t="shared" si="12"/>
        <v>0</v>
      </c>
      <c r="AL30" s="504">
        <f t="shared" si="13"/>
      </c>
      <c r="AM30" s="504">
        <f t="shared" si="14"/>
        <v>0</v>
      </c>
      <c r="AN30" s="504">
        <f t="shared" si="15"/>
      </c>
      <c r="AO30" s="505">
        <f t="shared" si="16"/>
      </c>
      <c r="AP30" s="504">
        <f t="shared" si="25"/>
      </c>
      <c r="AQ30" s="505">
        <f t="shared" si="17"/>
      </c>
      <c r="AR30" s="504">
        <f t="shared" si="18"/>
        <v>0</v>
      </c>
      <c r="AS30" s="504">
        <f t="shared" si="19"/>
        <v>0</v>
      </c>
      <c r="AT30" s="504">
        <f t="shared" si="26"/>
        <v>0</v>
      </c>
      <c r="AU30" s="506">
        <f t="shared" si="20"/>
      </c>
      <c r="AV30" s="120"/>
      <c r="AW30" s="500" t="str">
        <f t="shared" si="27"/>
        <v> / </v>
      </c>
      <c r="AX30" s="120"/>
      <c r="AY30" s="120"/>
      <c r="AZ30" s="120"/>
      <c r="BA30" s="120"/>
    </row>
    <row r="31" spans="1:53" s="446" customFormat="1" ht="25.5" customHeight="1">
      <c r="A31" s="553"/>
      <c r="B31" s="555">
        <v>20</v>
      </c>
      <c r="C31" s="575"/>
      <c r="D31" s="576"/>
      <c r="E31" s="442"/>
      <c r="F31" s="443"/>
      <c r="G31" s="444"/>
      <c r="H31" s="442"/>
      <c r="I31" s="443"/>
      <c r="J31" s="575"/>
      <c r="K31" s="576"/>
      <c r="L31" s="442"/>
      <c r="M31" s="443"/>
      <c r="N31" s="444"/>
      <c r="O31" s="442"/>
      <c r="P31" s="443"/>
      <c r="Q31" s="571">
        <f t="shared" si="0"/>
        <v>0</v>
      </c>
      <c r="R31" s="572">
        <f t="shared" si="1"/>
        <v>0</v>
      </c>
      <c r="S31" s="527"/>
      <c r="T31" s="528"/>
      <c r="U31" s="529"/>
      <c r="V31" s="445">
        <f t="shared" si="2"/>
        <v>100</v>
      </c>
      <c r="W31" s="504">
        <f t="shared" si="21"/>
        <v>0</v>
      </c>
      <c r="X31" s="504">
        <f t="shared" si="3"/>
        <v>0</v>
      </c>
      <c r="Y31" s="504">
        <f t="shared" si="4"/>
      </c>
      <c r="Z31" s="504">
        <f t="shared" si="5"/>
        <v>0</v>
      </c>
      <c r="AA31" s="504">
        <f t="shared" si="6"/>
      </c>
      <c r="AB31" s="505">
        <f t="shared" si="7"/>
      </c>
      <c r="AC31" s="504">
        <f t="shared" si="22"/>
      </c>
      <c r="AD31" s="505">
        <f t="shared" si="8"/>
      </c>
      <c r="AE31" s="504">
        <f t="shared" si="9"/>
        <v>0</v>
      </c>
      <c r="AF31" s="504">
        <f t="shared" si="10"/>
        <v>0</v>
      </c>
      <c r="AG31" s="504">
        <f t="shared" si="23"/>
        <v>0</v>
      </c>
      <c r="AH31" s="506">
        <f t="shared" si="11"/>
      </c>
      <c r="AI31" s="120"/>
      <c r="AJ31" s="504">
        <f t="shared" si="24"/>
        <v>0</v>
      </c>
      <c r="AK31" s="504">
        <f t="shared" si="12"/>
        <v>0</v>
      </c>
      <c r="AL31" s="504">
        <f t="shared" si="13"/>
      </c>
      <c r="AM31" s="504">
        <f t="shared" si="14"/>
        <v>0</v>
      </c>
      <c r="AN31" s="504">
        <f t="shared" si="15"/>
      </c>
      <c r="AO31" s="505">
        <f t="shared" si="16"/>
      </c>
      <c r="AP31" s="504">
        <f t="shared" si="25"/>
      </c>
      <c r="AQ31" s="505">
        <f t="shared" si="17"/>
      </c>
      <c r="AR31" s="504">
        <f t="shared" si="18"/>
        <v>0</v>
      </c>
      <c r="AS31" s="504">
        <f t="shared" si="19"/>
        <v>0</v>
      </c>
      <c r="AT31" s="504">
        <f t="shared" si="26"/>
        <v>0</v>
      </c>
      <c r="AU31" s="506">
        <f t="shared" si="20"/>
      </c>
      <c r="AV31" s="120"/>
      <c r="AW31" s="500" t="str">
        <f t="shared" si="27"/>
        <v> / </v>
      </c>
      <c r="AX31" s="120"/>
      <c r="AY31" s="120"/>
      <c r="AZ31" s="120"/>
      <c r="BA31" s="120"/>
    </row>
    <row r="32" spans="1:53" s="446" customFormat="1" ht="25.5" customHeight="1">
      <c r="A32" s="553"/>
      <c r="B32" s="555">
        <v>21</v>
      </c>
      <c r="C32" s="575"/>
      <c r="D32" s="576"/>
      <c r="E32" s="442"/>
      <c r="F32" s="443"/>
      <c r="G32" s="444"/>
      <c r="H32" s="442"/>
      <c r="I32" s="443"/>
      <c r="J32" s="575"/>
      <c r="K32" s="576"/>
      <c r="L32" s="442"/>
      <c r="M32" s="443"/>
      <c r="N32" s="444"/>
      <c r="O32" s="442"/>
      <c r="P32" s="443"/>
      <c r="Q32" s="571">
        <f t="shared" si="0"/>
        <v>0</v>
      </c>
      <c r="R32" s="572">
        <f t="shared" si="1"/>
        <v>0</v>
      </c>
      <c r="S32" s="527"/>
      <c r="T32" s="528"/>
      <c r="U32" s="529"/>
      <c r="V32" s="445">
        <f t="shared" si="2"/>
        <v>100</v>
      </c>
      <c r="W32" s="504">
        <f t="shared" si="21"/>
        <v>0</v>
      </c>
      <c r="X32" s="504">
        <f t="shared" si="3"/>
        <v>0</v>
      </c>
      <c r="Y32" s="504">
        <f t="shared" si="4"/>
      </c>
      <c r="Z32" s="504">
        <f t="shared" si="5"/>
        <v>0</v>
      </c>
      <c r="AA32" s="504">
        <f t="shared" si="6"/>
      </c>
      <c r="AB32" s="505">
        <f t="shared" si="7"/>
      </c>
      <c r="AC32" s="504">
        <f t="shared" si="22"/>
      </c>
      <c r="AD32" s="505">
        <f t="shared" si="8"/>
      </c>
      <c r="AE32" s="504">
        <f t="shared" si="9"/>
        <v>0</v>
      </c>
      <c r="AF32" s="504">
        <f t="shared" si="10"/>
        <v>0</v>
      </c>
      <c r="AG32" s="504">
        <f t="shared" si="23"/>
        <v>0</v>
      </c>
      <c r="AH32" s="506">
        <f t="shared" si="11"/>
      </c>
      <c r="AI32" s="120"/>
      <c r="AJ32" s="504">
        <f t="shared" si="24"/>
        <v>0</v>
      </c>
      <c r="AK32" s="504">
        <f t="shared" si="12"/>
        <v>0</v>
      </c>
      <c r="AL32" s="504">
        <f t="shared" si="13"/>
      </c>
      <c r="AM32" s="504">
        <f t="shared" si="14"/>
        <v>0</v>
      </c>
      <c r="AN32" s="504">
        <f t="shared" si="15"/>
      </c>
      <c r="AO32" s="505">
        <f t="shared" si="16"/>
      </c>
      <c r="AP32" s="504">
        <f t="shared" si="25"/>
      </c>
      <c r="AQ32" s="505">
        <f t="shared" si="17"/>
      </c>
      <c r="AR32" s="504">
        <f t="shared" si="18"/>
        <v>0</v>
      </c>
      <c r="AS32" s="504">
        <f t="shared" si="19"/>
        <v>0</v>
      </c>
      <c r="AT32" s="504">
        <f t="shared" si="26"/>
        <v>0</v>
      </c>
      <c r="AU32" s="506">
        <f t="shared" si="20"/>
      </c>
      <c r="AV32" s="120"/>
      <c r="AW32" s="500" t="str">
        <f t="shared" si="27"/>
        <v> / </v>
      </c>
      <c r="AX32" s="120"/>
      <c r="AY32" s="120"/>
      <c r="AZ32" s="120"/>
      <c r="BA32" s="120"/>
    </row>
    <row r="33" spans="1:53" s="446" customFormat="1" ht="25.5" customHeight="1">
      <c r="A33" s="553"/>
      <c r="B33" s="555">
        <v>22</v>
      </c>
      <c r="C33" s="575"/>
      <c r="D33" s="576"/>
      <c r="E33" s="442"/>
      <c r="F33" s="443"/>
      <c r="G33" s="444"/>
      <c r="H33" s="442"/>
      <c r="I33" s="443"/>
      <c r="J33" s="575"/>
      <c r="K33" s="576"/>
      <c r="L33" s="442"/>
      <c r="M33" s="443"/>
      <c r="N33" s="444"/>
      <c r="O33" s="442"/>
      <c r="P33" s="443"/>
      <c r="Q33" s="571">
        <f t="shared" si="0"/>
        <v>0</v>
      </c>
      <c r="R33" s="572">
        <f t="shared" si="1"/>
        <v>0</v>
      </c>
      <c r="S33" s="527"/>
      <c r="T33" s="528"/>
      <c r="U33" s="529"/>
      <c r="V33" s="445">
        <f t="shared" si="2"/>
        <v>100</v>
      </c>
      <c r="W33" s="504">
        <f t="shared" si="21"/>
        <v>0</v>
      </c>
      <c r="X33" s="504">
        <f t="shared" si="3"/>
        <v>0</v>
      </c>
      <c r="Y33" s="504">
        <f t="shared" si="4"/>
      </c>
      <c r="Z33" s="504">
        <f t="shared" si="5"/>
        <v>0</v>
      </c>
      <c r="AA33" s="504">
        <f t="shared" si="6"/>
      </c>
      <c r="AB33" s="505">
        <f t="shared" si="7"/>
      </c>
      <c r="AC33" s="504">
        <f t="shared" si="22"/>
      </c>
      <c r="AD33" s="505">
        <f t="shared" si="8"/>
      </c>
      <c r="AE33" s="504">
        <f t="shared" si="9"/>
        <v>0</v>
      </c>
      <c r="AF33" s="504">
        <f t="shared" si="10"/>
        <v>0</v>
      </c>
      <c r="AG33" s="504">
        <f t="shared" si="23"/>
        <v>0</v>
      </c>
      <c r="AH33" s="506">
        <f t="shared" si="11"/>
      </c>
      <c r="AI33" s="120"/>
      <c r="AJ33" s="504">
        <f t="shared" si="24"/>
        <v>0</v>
      </c>
      <c r="AK33" s="504">
        <f t="shared" si="12"/>
        <v>0</v>
      </c>
      <c r="AL33" s="504">
        <f t="shared" si="13"/>
      </c>
      <c r="AM33" s="504">
        <f t="shared" si="14"/>
        <v>0</v>
      </c>
      <c r="AN33" s="504">
        <f t="shared" si="15"/>
      </c>
      <c r="AO33" s="505">
        <f t="shared" si="16"/>
      </c>
      <c r="AP33" s="504">
        <f t="shared" si="25"/>
      </c>
      <c r="AQ33" s="505">
        <f t="shared" si="17"/>
      </c>
      <c r="AR33" s="504">
        <f t="shared" si="18"/>
        <v>0</v>
      </c>
      <c r="AS33" s="504">
        <f t="shared" si="19"/>
        <v>0</v>
      </c>
      <c r="AT33" s="504">
        <f t="shared" si="26"/>
        <v>0</v>
      </c>
      <c r="AU33" s="506">
        <f t="shared" si="20"/>
      </c>
      <c r="AV33" s="120"/>
      <c r="AW33" s="500" t="str">
        <f t="shared" si="27"/>
        <v> / </v>
      </c>
      <c r="AX33" s="120"/>
      <c r="AY33" s="120"/>
      <c r="AZ33" s="120"/>
      <c r="BA33" s="120"/>
    </row>
    <row r="34" spans="1:53" s="446" customFormat="1" ht="25.5" customHeight="1">
      <c r="A34" s="553"/>
      <c r="B34" s="555">
        <v>23</v>
      </c>
      <c r="C34" s="575"/>
      <c r="D34" s="576"/>
      <c r="E34" s="442"/>
      <c r="F34" s="443"/>
      <c r="G34" s="444"/>
      <c r="H34" s="442"/>
      <c r="I34" s="443"/>
      <c r="J34" s="575"/>
      <c r="K34" s="576"/>
      <c r="L34" s="442"/>
      <c r="M34" s="443"/>
      <c r="N34" s="444"/>
      <c r="O34" s="442"/>
      <c r="P34" s="443"/>
      <c r="Q34" s="571">
        <f t="shared" si="0"/>
        <v>0</v>
      </c>
      <c r="R34" s="572">
        <f t="shared" si="1"/>
        <v>0</v>
      </c>
      <c r="S34" s="527"/>
      <c r="T34" s="528"/>
      <c r="U34" s="529"/>
      <c r="V34" s="445">
        <f t="shared" si="2"/>
        <v>100</v>
      </c>
      <c r="W34" s="504">
        <f t="shared" si="21"/>
        <v>0</v>
      </c>
      <c r="X34" s="504">
        <f t="shared" si="3"/>
        <v>0</v>
      </c>
      <c r="Y34" s="504">
        <f t="shared" si="4"/>
      </c>
      <c r="Z34" s="504">
        <f t="shared" si="5"/>
        <v>0</v>
      </c>
      <c r="AA34" s="504">
        <f t="shared" si="6"/>
      </c>
      <c r="AB34" s="505">
        <f t="shared" si="7"/>
      </c>
      <c r="AC34" s="504">
        <f t="shared" si="22"/>
      </c>
      <c r="AD34" s="505">
        <f t="shared" si="8"/>
      </c>
      <c r="AE34" s="504">
        <f t="shared" si="9"/>
        <v>0</v>
      </c>
      <c r="AF34" s="504">
        <f t="shared" si="10"/>
        <v>0</v>
      </c>
      <c r="AG34" s="504">
        <f t="shared" si="23"/>
        <v>0</v>
      </c>
      <c r="AH34" s="506">
        <f t="shared" si="11"/>
      </c>
      <c r="AI34" s="120"/>
      <c r="AJ34" s="504">
        <f t="shared" si="24"/>
        <v>0</v>
      </c>
      <c r="AK34" s="504">
        <f t="shared" si="12"/>
        <v>0</v>
      </c>
      <c r="AL34" s="504">
        <f t="shared" si="13"/>
      </c>
      <c r="AM34" s="504">
        <f t="shared" si="14"/>
        <v>0</v>
      </c>
      <c r="AN34" s="504">
        <f t="shared" si="15"/>
      </c>
      <c r="AO34" s="505">
        <f t="shared" si="16"/>
      </c>
      <c r="AP34" s="504">
        <f t="shared" si="25"/>
      </c>
      <c r="AQ34" s="505">
        <f t="shared" si="17"/>
      </c>
      <c r="AR34" s="504">
        <f t="shared" si="18"/>
        <v>0</v>
      </c>
      <c r="AS34" s="504">
        <f t="shared" si="19"/>
        <v>0</v>
      </c>
      <c r="AT34" s="504">
        <f t="shared" si="26"/>
        <v>0</v>
      </c>
      <c r="AU34" s="506">
        <f t="shared" si="20"/>
      </c>
      <c r="AV34" s="120"/>
      <c r="AW34" s="500" t="str">
        <f t="shared" si="27"/>
        <v> / </v>
      </c>
      <c r="AX34" s="120"/>
      <c r="AY34" s="120"/>
      <c r="AZ34" s="120"/>
      <c r="BA34" s="120"/>
    </row>
    <row r="35" spans="1:53" s="446" customFormat="1" ht="25.5" customHeight="1">
      <c r="A35" s="553"/>
      <c r="B35" s="555">
        <v>24</v>
      </c>
      <c r="C35" s="575"/>
      <c r="D35" s="576"/>
      <c r="E35" s="442"/>
      <c r="F35" s="443"/>
      <c r="G35" s="444"/>
      <c r="H35" s="442"/>
      <c r="I35" s="443"/>
      <c r="J35" s="575"/>
      <c r="K35" s="576"/>
      <c r="L35" s="442"/>
      <c r="M35" s="443"/>
      <c r="N35" s="444"/>
      <c r="O35" s="442"/>
      <c r="P35" s="443"/>
      <c r="Q35" s="571">
        <f t="shared" si="0"/>
        <v>0</v>
      </c>
      <c r="R35" s="572">
        <f t="shared" si="1"/>
        <v>0</v>
      </c>
      <c r="S35" s="527"/>
      <c r="T35" s="528"/>
      <c r="U35" s="529"/>
      <c r="V35" s="445">
        <f t="shared" si="2"/>
        <v>100</v>
      </c>
      <c r="W35" s="504">
        <f t="shared" si="21"/>
        <v>0</v>
      </c>
      <c r="X35" s="504">
        <f t="shared" si="3"/>
        <v>0</v>
      </c>
      <c r="Y35" s="504">
        <f t="shared" si="4"/>
      </c>
      <c r="Z35" s="504">
        <f t="shared" si="5"/>
        <v>0</v>
      </c>
      <c r="AA35" s="504">
        <f t="shared" si="6"/>
      </c>
      <c r="AB35" s="505">
        <f t="shared" si="7"/>
      </c>
      <c r="AC35" s="504">
        <f t="shared" si="22"/>
      </c>
      <c r="AD35" s="505">
        <f t="shared" si="8"/>
      </c>
      <c r="AE35" s="504">
        <f t="shared" si="9"/>
        <v>0</v>
      </c>
      <c r="AF35" s="504">
        <f t="shared" si="10"/>
        <v>0</v>
      </c>
      <c r="AG35" s="504">
        <f t="shared" si="23"/>
        <v>0</v>
      </c>
      <c r="AH35" s="506">
        <f t="shared" si="11"/>
      </c>
      <c r="AI35" s="120"/>
      <c r="AJ35" s="504">
        <f t="shared" si="24"/>
        <v>0</v>
      </c>
      <c r="AK35" s="504">
        <f t="shared" si="12"/>
        <v>0</v>
      </c>
      <c r="AL35" s="504">
        <f t="shared" si="13"/>
      </c>
      <c r="AM35" s="504">
        <f t="shared" si="14"/>
        <v>0</v>
      </c>
      <c r="AN35" s="504">
        <f t="shared" si="15"/>
      </c>
      <c r="AO35" s="505">
        <f t="shared" si="16"/>
      </c>
      <c r="AP35" s="504">
        <f t="shared" si="25"/>
      </c>
      <c r="AQ35" s="505">
        <f t="shared" si="17"/>
      </c>
      <c r="AR35" s="504">
        <f t="shared" si="18"/>
        <v>0</v>
      </c>
      <c r="AS35" s="504">
        <f t="shared" si="19"/>
        <v>0</v>
      </c>
      <c r="AT35" s="504">
        <f t="shared" si="26"/>
        <v>0</v>
      </c>
      <c r="AU35" s="506">
        <f t="shared" si="20"/>
      </c>
      <c r="AV35" s="120"/>
      <c r="AW35" s="500" t="str">
        <f t="shared" si="27"/>
        <v> / </v>
      </c>
      <c r="AX35" s="120"/>
      <c r="AY35" s="120"/>
      <c r="AZ35" s="120"/>
      <c r="BA35" s="120"/>
    </row>
    <row r="36" spans="1:53" s="446" customFormat="1" ht="25.5" customHeight="1">
      <c r="A36" s="553"/>
      <c r="B36" s="555">
        <v>25</v>
      </c>
      <c r="C36" s="575"/>
      <c r="D36" s="576"/>
      <c r="E36" s="442"/>
      <c r="F36" s="443"/>
      <c r="G36" s="444"/>
      <c r="H36" s="442"/>
      <c r="I36" s="443"/>
      <c r="J36" s="575"/>
      <c r="K36" s="576"/>
      <c r="L36" s="442"/>
      <c r="M36" s="443"/>
      <c r="N36" s="444"/>
      <c r="O36" s="442"/>
      <c r="P36" s="443"/>
      <c r="Q36" s="571">
        <f t="shared" si="0"/>
        <v>0</v>
      </c>
      <c r="R36" s="572">
        <f t="shared" si="1"/>
        <v>0</v>
      </c>
      <c r="S36" s="527"/>
      <c r="T36" s="528"/>
      <c r="U36" s="529"/>
      <c r="V36" s="445">
        <f t="shared" si="2"/>
        <v>100</v>
      </c>
      <c r="W36" s="504">
        <f t="shared" si="21"/>
        <v>0</v>
      </c>
      <c r="X36" s="504">
        <f t="shared" si="3"/>
        <v>0</v>
      </c>
      <c r="Y36" s="504">
        <f t="shared" si="4"/>
      </c>
      <c r="Z36" s="504">
        <f t="shared" si="5"/>
        <v>0</v>
      </c>
      <c r="AA36" s="504">
        <f t="shared" si="6"/>
      </c>
      <c r="AB36" s="505">
        <f t="shared" si="7"/>
      </c>
      <c r="AC36" s="504">
        <f t="shared" si="22"/>
      </c>
      <c r="AD36" s="505">
        <f t="shared" si="8"/>
      </c>
      <c r="AE36" s="504">
        <f t="shared" si="9"/>
        <v>0</v>
      </c>
      <c r="AF36" s="504">
        <f t="shared" si="10"/>
        <v>0</v>
      </c>
      <c r="AG36" s="504">
        <f t="shared" si="23"/>
        <v>0</v>
      </c>
      <c r="AH36" s="506">
        <f t="shared" si="11"/>
      </c>
      <c r="AI36" s="120"/>
      <c r="AJ36" s="504">
        <f t="shared" si="24"/>
        <v>0</v>
      </c>
      <c r="AK36" s="504">
        <f t="shared" si="12"/>
        <v>0</v>
      </c>
      <c r="AL36" s="504">
        <f t="shared" si="13"/>
      </c>
      <c r="AM36" s="504">
        <f t="shared" si="14"/>
        <v>0</v>
      </c>
      <c r="AN36" s="504">
        <f t="shared" si="15"/>
      </c>
      <c r="AO36" s="505">
        <f t="shared" si="16"/>
      </c>
      <c r="AP36" s="504">
        <f t="shared" si="25"/>
      </c>
      <c r="AQ36" s="505">
        <f t="shared" si="17"/>
      </c>
      <c r="AR36" s="504">
        <f t="shared" si="18"/>
        <v>0</v>
      </c>
      <c r="AS36" s="504">
        <f t="shared" si="19"/>
        <v>0</v>
      </c>
      <c r="AT36" s="504">
        <f t="shared" si="26"/>
        <v>0</v>
      </c>
      <c r="AU36" s="506">
        <f t="shared" si="20"/>
      </c>
      <c r="AV36" s="120"/>
      <c r="AW36" s="500" t="str">
        <f t="shared" si="27"/>
        <v> / </v>
      </c>
      <c r="AX36" s="120"/>
      <c r="AY36" s="120"/>
      <c r="AZ36" s="120"/>
      <c r="BA36" s="120"/>
    </row>
    <row r="37" spans="1:53" s="446" customFormat="1" ht="25.5" customHeight="1">
      <c r="A37" s="553"/>
      <c r="B37" s="555">
        <v>26</v>
      </c>
      <c r="C37" s="575"/>
      <c r="D37" s="576"/>
      <c r="E37" s="442"/>
      <c r="F37" s="443"/>
      <c r="G37" s="444"/>
      <c r="H37" s="442"/>
      <c r="I37" s="443"/>
      <c r="J37" s="575"/>
      <c r="K37" s="576"/>
      <c r="L37" s="442"/>
      <c r="M37" s="443"/>
      <c r="N37" s="444"/>
      <c r="O37" s="442"/>
      <c r="P37" s="443"/>
      <c r="Q37" s="571">
        <f t="shared" si="0"/>
        <v>0</v>
      </c>
      <c r="R37" s="572">
        <f t="shared" si="1"/>
        <v>0</v>
      </c>
      <c r="S37" s="527"/>
      <c r="T37" s="528"/>
      <c r="U37" s="529"/>
      <c r="V37" s="445">
        <f t="shared" si="2"/>
        <v>100</v>
      </c>
      <c r="W37" s="504">
        <f t="shared" si="21"/>
        <v>0</v>
      </c>
      <c r="X37" s="504">
        <f t="shared" si="3"/>
        <v>0</v>
      </c>
      <c r="Y37" s="504">
        <f t="shared" si="4"/>
      </c>
      <c r="Z37" s="504">
        <f t="shared" si="5"/>
        <v>0</v>
      </c>
      <c r="AA37" s="504">
        <f t="shared" si="6"/>
      </c>
      <c r="AB37" s="505">
        <f t="shared" si="7"/>
      </c>
      <c r="AC37" s="504">
        <f t="shared" si="22"/>
      </c>
      <c r="AD37" s="505">
        <f t="shared" si="8"/>
      </c>
      <c r="AE37" s="504">
        <f t="shared" si="9"/>
        <v>0</v>
      </c>
      <c r="AF37" s="504">
        <f t="shared" si="10"/>
        <v>0</v>
      </c>
      <c r="AG37" s="504">
        <f t="shared" si="23"/>
        <v>0</v>
      </c>
      <c r="AH37" s="506">
        <f t="shared" si="11"/>
      </c>
      <c r="AI37" s="120"/>
      <c r="AJ37" s="504">
        <f t="shared" si="24"/>
        <v>0</v>
      </c>
      <c r="AK37" s="504">
        <f t="shared" si="12"/>
        <v>0</v>
      </c>
      <c r="AL37" s="504">
        <f t="shared" si="13"/>
      </c>
      <c r="AM37" s="504">
        <f t="shared" si="14"/>
        <v>0</v>
      </c>
      <c r="AN37" s="504">
        <f t="shared" si="15"/>
      </c>
      <c r="AO37" s="505">
        <f t="shared" si="16"/>
      </c>
      <c r="AP37" s="504">
        <f t="shared" si="25"/>
      </c>
      <c r="AQ37" s="505">
        <f t="shared" si="17"/>
      </c>
      <c r="AR37" s="504">
        <f t="shared" si="18"/>
        <v>0</v>
      </c>
      <c r="AS37" s="504">
        <f t="shared" si="19"/>
        <v>0</v>
      </c>
      <c r="AT37" s="504">
        <f t="shared" si="26"/>
        <v>0</v>
      </c>
      <c r="AU37" s="506">
        <f t="shared" si="20"/>
      </c>
      <c r="AV37" s="120"/>
      <c r="AW37" s="500" t="str">
        <f t="shared" si="27"/>
        <v> / </v>
      </c>
      <c r="AX37" s="120"/>
      <c r="AY37" s="120"/>
      <c r="AZ37" s="120"/>
      <c r="BA37" s="120"/>
    </row>
    <row r="38" spans="1:53" s="446" customFormat="1" ht="25.5" customHeight="1">
      <c r="A38" s="553"/>
      <c r="B38" s="555">
        <v>27</v>
      </c>
      <c r="C38" s="575"/>
      <c r="D38" s="576"/>
      <c r="E38" s="442"/>
      <c r="F38" s="443"/>
      <c r="G38" s="444"/>
      <c r="H38" s="442"/>
      <c r="I38" s="443"/>
      <c r="J38" s="575"/>
      <c r="K38" s="576"/>
      <c r="L38" s="442"/>
      <c r="M38" s="443"/>
      <c r="N38" s="444"/>
      <c r="O38" s="442"/>
      <c r="P38" s="443"/>
      <c r="Q38" s="571">
        <f t="shared" si="0"/>
        <v>0</v>
      </c>
      <c r="R38" s="572">
        <f t="shared" si="1"/>
        <v>0</v>
      </c>
      <c r="S38" s="527"/>
      <c r="T38" s="528"/>
      <c r="U38" s="529"/>
      <c r="V38" s="445">
        <f t="shared" si="2"/>
        <v>100</v>
      </c>
      <c r="W38" s="504">
        <f t="shared" si="21"/>
        <v>0</v>
      </c>
      <c r="X38" s="504">
        <f t="shared" si="3"/>
        <v>0</v>
      </c>
      <c r="Y38" s="504">
        <f t="shared" si="4"/>
      </c>
      <c r="Z38" s="504">
        <f t="shared" si="5"/>
        <v>0</v>
      </c>
      <c r="AA38" s="504">
        <f t="shared" si="6"/>
      </c>
      <c r="AB38" s="505">
        <f t="shared" si="7"/>
      </c>
      <c r="AC38" s="504">
        <f t="shared" si="22"/>
      </c>
      <c r="AD38" s="505">
        <f t="shared" si="8"/>
      </c>
      <c r="AE38" s="504">
        <f t="shared" si="9"/>
        <v>0</v>
      </c>
      <c r="AF38" s="504">
        <f t="shared" si="10"/>
        <v>0</v>
      </c>
      <c r="AG38" s="504">
        <f t="shared" si="23"/>
        <v>0</v>
      </c>
      <c r="AH38" s="506">
        <f t="shared" si="11"/>
      </c>
      <c r="AI38" s="120"/>
      <c r="AJ38" s="504">
        <f t="shared" si="24"/>
        <v>0</v>
      </c>
      <c r="AK38" s="504">
        <f t="shared" si="12"/>
        <v>0</v>
      </c>
      <c r="AL38" s="504">
        <f t="shared" si="13"/>
      </c>
      <c r="AM38" s="504">
        <f t="shared" si="14"/>
        <v>0</v>
      </c>
      <c r="AN38" s="504">
        <f t="shared" si="15"/>
      </c>
      <c r="AO38" s="505">
        <f t="shared" si="16"/>
      </c>
      <c r="AP38" s="504">
        <f t="shared" si="25"/>
      </c>
      <c r="AQ38" s="505">
        <f t="shared" si="17"/>
      </c>
      <c r="AR38" s="504">
        <f t="shared" si="18"/>
        <v>0</v>
      </c>
      <c r="AS38" s="504">
        <f t="shared" si="19"/>
        <v>0</v>
      </c>
      <c r="AT38" s="504">
        <f t="shared" si="26"/>
        <v>0</v>
      </c>
      <c r="AU38" s="506">
        <f t="shared" si="20"/>
      </c>
      <c r="AV38" s="120"/>
      <c r="AW38" s="500" t="str">
        <f t="shared" si="27"/>
        <v> / </v>
      </c>
      <c r="AX38" s="120"/>
      <c r="AY38" s="120"/>
      <c r="AZ38" s="120"/>
      <c r="BA38" s="120"/>
    </row>
    <row r="39" spans="1:53" s="446" customFormat="1" ht="25.5" customHeight="1">
      <c r="A39" s="553"/>
      <c r="B39" s="555">
        <v>28</v>
      </c>
      <c r="C39" s="575"/>
      <c r="D39" s="576"/>
      <c r="E39" s="442"/>
      <c r="F39" s="443"/>
      <c r="G39" s="444"/>
      <c r="H39" s="442"/>
      <c r="I39" s="443"/>
      <c r="J39" s="575"/>
      <c r="K39" s="576"/>
      <c r="L39" s="442"/>
      <c r="M39" s="443"/>
      <c r="N39" s="444"/>
      <c r="O39" s="442"/>
      <c r="P39" s="443"/>
      <c r="Q39" s="571">
        <f t="shared" si="0"/>
        <v>0</v>
      </c>
      <c r="R39" s="572">
        <f t="shared" si="1"/>
        <v>0</v>
      </c>
      <c r="S39" s="527"/>
      <c r="T39" s="528"/>
      <c r="U39" s="529"/>
      <c r="V39" s="445">
        <f t="shared" si="2"/>
        <v>100</v>
      </c>
      <c r="W39" s="504">
        <f t="shared" si="21"/>
        <v>0</v>
      </c>
      <c r="X39" s="504">
        <f t="shared" si="3"/>
        <v>0</v>
      </c>
      <c r="Y39" s="504">
        <f t="shared" si="4"/>
      </c>
      <c r="Z39" s="504">
        <f t="shared" si="5"/>
        <v>0</v>
      </c>
      <c r="AA39" s="504">
        <f t="shared" si="6"/>
      </c>
      <c r="AB39" s="505">
        <f t="shared" si="7"/>
      </c>
      <c r="AC39" s="504">
        <f t="shared" si="22"/>
      </c>
      <c r="AD39" s="505">
        <f t="shared" si="8"/>
      </c>
      <c r="AE39" s="504">
        <f t="shared" si="9"/>
        <v>0</v>
      </c>
      <c r="AF39" s="504">
        <f t="shared" si="10"/>
        <v>0</v>
      </c>
      <c r="AG39" s="504">
        <f t="shared" si="23"/>
        <v>0</v>
      </c>
      <c r="AH39" s="506">
        <f t="shared" si="11"/>
      </c>
      <c r="AI39" s="120"/>
      <c r="AJ39" s="504">
        <f t="shared" si="24"/>
        <v>0</v>
      </c>
      <c r="AK39" s="504">
        <f t="shared" si="12"/>
        <v>0</v>
      </c>
      <c r="AL39" s="504">
        <f t="shared" si="13"/>
      </c>
      <c r="AM39" s="504">
        <f t="shared" si="14"/>
        <v>0</v>
      </c>
      <c r="AN39" s="504">
        <f t="shared" si="15"/>
      </c>
      <c r="AO39" s="505">
        <f t="shared" si="16"/>
      </c>
      <c r="AP39" s="504">
        <f t="shared" si="25"/>
      </c>
      <c r="AQ39" s="505">
        <f t="shared" si="17"/>
      </c>
      <c r="AR39" s="504">
        <f t="shared" si="18"/>
        <v>0</v>
      </c>
      <c r="AS39" s="504">
        <f t="shared" si="19"/>
        <v>0</v>
      </c>
      <c r="AT39" s="504">
        <f t="shared" si="26"/>
        <v>0</v>
      </c>
      <c r="AU39" s="506">
        <f t="shared" si="20"/>
      </c>
      <c r="AV39" s="120"/>
      <c r="AW39" s="500" t="str">
        <f t="shared" si="27"/>
        <v> / </v>
      </c>
      <c r="AX39" s="120"/>
      <c r="AY39" s="120"/>
      <c r="AZ39" s="120"/>
      <c r="BA39" s="120"/>
    </row>
    <row r="40" spans="1:53" s="446" customFormat="1" ht="25.5" customHeight="1">
      <c r="A40" s="553"/>
      <c r="B40" s="555">
        <v>29</v>
      </c>
      <c r="C40" s="575"/>
      <c r="D40" s="576"/>
      <c r="E40" s="442"/>
      <c r="F40" s="443"/>
      <c r="G40" s="444"/>
      <c r="H40" s="442"/>
      <c r="I40" s="443"/>
      <c r="J40" s="575"/>
      <c r="K40" s="576"/>
      <c r="L40" s="442"/>
      <c r="M40" s="443"/>
      <c r="N40" s="444"/>
      <c r="O40" s="442"/>
      <c r="P40" s="443"/>
      <c r="Q40" s="571">
        <f t="shared" si="0"/>
        <v>0</v>
      </c>
      <c r="R40" s="572">
        <f t="shared" si="1"/>
        <v>0</v>
      </c>
      <c r="S40" s="527"/>
      <c r="T40" s="528"/>
      <c r="U40" s="529"/>
      <c r="V40" s="445">
        <f t="shared" si="2"/>
        <v>100</v>
      </c>
      <c r="W40" s="504">
        <f t="shared" si="21"/>
        <v>0</v>
      </c>
      <c r="X40" s="504">
        <f t="shared" si="3"/>
        <v>0</v>
      </c>
      <c r="Y40" s="504">
        <f t="shared" si="4"/>
      </c>
      <c r="Z40" s="504">
        <f t="shared" si="5"/>
        <v>0</v>
      </c>
      <c r="AA40" s="504">
        <f t="shared" si="6"/>
      </c>
      <c r="AB40" s="505">
        <f t="shared" si="7"/>
      </c>
      <c r="AC40" s="504">
        <f t="shared" si="22"/>
      </c>
      <c r="AD40" s="505">
        <f t="shared" si="8"/>
      </c>
      <c r="AE40" s="504">
        <f t="shared" si="9"/>
        <v>0</v>
      </c>
      <c r="AF40" s="504">
        <f t="shared" si="10"/>
        <v>0</v>
      </c>
      <c r="AG40" s="504">
        <f t="shared" si="23"/>
        <v>0</v>
      </c>
      <c r="AH40" s="506">
        <f t="shared" si="11"/>
      </c>
      <c r="AI40" s="120"/>
      <c r="AJ40" s="504">
        <f t="shared" si="24"/>
        <v>0</v>
      </c>
      <c r="AK40" s="504">
        <f t="shared" si="12"/>
        <v>0</v>
      </c>
      <c r="AL40" s="504">
        <f t="shared" si="13"/>
      </c>
      <c r="AM40" s="504">
        <f t="shared" si="14"/>
        <v>0</v>
      </c>
      <c r="AN40" s="504">
        <f t="shared" si="15"/>
      </c>
      <c r="AO40" s="505">
        <f t="shared" si="16"/>
      </c>
      <c r="AP40" s="504">
        <f t="shared" si="25"/>
      </c>
      <c r="AQ40" s="505">
        <f t="shared" si="17"/>
      </c>
      <c r="AR40" s="504">
        <f t="shared" si="18"/>
        <v>0</v>
      </c>
      <c r="AS40" s="504">
        <f t="shared" si="19"/>
        <v>0</v>
      </c>
      <c r="AT40" s="504">
        <f t="shared" si="26"/>
        <v>0</v>
      </c>
      <c r="AU40" s="506">
        <f t="shared" si="20"/>
      </c>
      <c r="AV40" s="120"/>
      <c r="AW40" s="500" t="str">
        <f t="shared" si="27"/>
        <v> / </v>
      </c>
      <c r="AX40" s="120"/>
      <c r="AY40" s="120"/>
      <c r="AZ40" s="120"/>
      <c r="BA40" s="120"/>
    </row>
    <row r="41" spans="1:53" s="446" customFormat="1" ht="25.5" customHeight="1">
      <c r="A41" s="553"/>
      <c r="B41" s="555">
        <v>30</v>
      </c>
      <c r="C41" s="575"/>
      <c r="D41" s="576"/>
      <c r="E41" s="442"/>
      <c r="F41" s="443"/>
      <c r="G41" s="444"/>
      <c r="H41" s="442"/>
      <c r="I41" s="443"/>
      <c r="J41" s="575"/>
      <c r="K41" s="576"/>
      <c r="L41" s="442"/>
      <c r="M41" s="443"/>
      <c r="N41" s="444"/>
      <c r="O41" s="442"/>
      <c r="P41" s="443"/>
      <c r="Q41" s="571">
        <f t="shared" si="0"/>
        <v>0</v>
      </c>
      <c r="R41" s="572">
        <f t="shared" si="1"/>
        <v>0</v>
      </c>
      <c r="S41" s="527"/>
      <c r="T41" s="528"/>
      <c r="U41" s="529"/>
      <c r="V41" s="445">
        <f t="shared" si="2"/>
        <v>100</v>
      </c>
      <c r="W41" s="504">
        <f t="shared" si="21"/>
        <v>0</v>
      </c>
      <c r="X41" s="504">
        <f t="shared" si="3"/>
        <v>0</v>
      </c>
      <c r="Y41" s="504">
        <f t="shared" si="4"/>
      </c>
      <c r="Z41" s="504">
        <f t="shared" si="5"/>
        <v>0</v>
      </c>
      <c r="AA41" s="504">
        <f t="shared" si="6"/>
      </c>
      <c r="AB41" s="505">
        <f t="shared" si="7"/>
      </c>
      <c r="AC41" s="504">
        <f t="shared" si="22"/>
      </c>
      <c r="AD41" s="505">
        <f t="shared" si="8"/>
      </c>
      <c r="AE41" s="504">
        <f t="shared" si="9"/>
        <v>0</v>
      </c>
      <c r="AF41" s="504">
        <f t="shared" si="10"/>
        <v>0</v>
      </c>
      <c r="AG41" s="504">
        <f t="shared" si="23"/>
        <v>0</v>
      </c>
      <c r="AH41" s="506">
        <f t="shared" si="11"/>
      </c>
      <c r="AI41" s="120"/>
      <c r="AJ41" s="504">
        <f t="shared" si="24"/>
        <v>0</v>
      </c>
      <c r="AK41" s="504">
        <f t="shared" si="12"/>
        <v>0</v>
      </c>
      <c r="AL41" s="504">
        <f t="shared" si="13"/>
      </c>
      <c r="AM41" s="504">
        <f t="shared" si="14"/>
        <v>0</v>
      </c>
      <c r="AN41" s="504">
        <f t="shared" si="15"/>
      </c>
      <c r="AO41" s="505">
        <f t="shared" si="16"/>
      </c>
      <c r="AP41" s="504">
        <f t="shared" si="25"/>
      </c>
      <c r="AQ41" s="505">
        <f t="shared" si="17"/>
      </c>
      <c r="AR41" s="504">
        <f t="shared" si="18"/>
        <v>0</v>
      </c>
      <c r="AS41" s="504">
        <f t="shared" si="19"/>
        <v>0</v>
      </c>
      <c r="AT41" s="504">
        <f t="shared" si="26"/>
        <v>0</v>
      </c>
      <c r="AU41" s="506">
        <f t="shared" si="20"/>
      </c>
      <c r="AV41" s="120"/>
      <c r="AW41" s="500" t="str">
        <f t="shared" si="27"/>
        <v> / </v>
      </c>
      <c r="AX41" s="120"/>
      <c r="AY41" s="120"/>
      <c r="AZ41" s="120"/>
      <c r="BA41" s="120"/>
    </row>
    <row r="42" spans="1:53" s="446" customFormat="1" ht="25.5" customHeight="1">
      <c r="A42" s="553"/>
      <c r="B42" s="555">
        <v>31</v>
      </c>
      <c r="C42" s="575"/>
      <c r="D42" s="576"/>
      <c r="E42" s="442"/>
      <c r="F42" s="443"/>
      <c r="G42" s="444"/>
      <c r="H42" s="442"/>
      <c r="I42" s="443"/>
      <c r="J42" s="575"/>
      <c r="K42" s="576"/>
      <c r="L42" s="442"/>
      <c r="M42" s="443"/>
      <c r="N42" s="444"/>
      <c r="O42" s="442"/>
      <c r="P42" s="443"/>
      <c r="Q42" s="571">
        <f t="shared" si="0"/>
        <v>0</v>
      </c>
      <c r="R42" s="572">
        <f t="shared" si="1"/>
        <v>0</v>
      </c>
      <c r="S42" s="527"/>
      <c r="T42" s="528"/>
      <c r="U42" s="529"/>
      <c r="V42" s="445">
        <f t="shared" si="2"/>
        <v>100</v>
      </c>
      <c r="W42" s="504">
        <f t="shared" si="21"/>
        <v>0</v>
      </c>
      <c r="X42" s="504">
        <f t="shared" si="3"/>
        <v>0</v>
      </c>
      <c r="Y42" s="504">
        <f t="shared" si="4"/>
      </c>
      <c r="Z42" s="504">
        <f t="shared" si="5"/>
        <v>0</v>
      </c>
      <c r="AA42" s="504">
        <f t="shared" si="6"/>
      </c>
      <c r="AB42" s="505">
        <f t="shared" si="7"/>
      </c>
      <c r="AC42" s="504">
        <f t="shared" si="22"/>
      </c>
      <c r="AD42" s="505">
        <f t="shared" si="8"/>
      </c>
      <c r="AE42" s="504">
        <f t="shared" si="9"/>
        <v>0</v>
      </c>
      <c r="AF42" s="504">
        <f t="shared" si="10"/>
        <v>0</v>
      </c>
      <c r="AG42" s="504">
        <f t="shared" si="23"/>
        <v>0</v>
      </c>
      <c r="AH42" s="506">
        <f t="shared" si="11"/>
      </c>
      <c r="AI42" s="120"/>
      <c r="AJ42" s="504">
        <f t="shared" si="24"/>
        <v>0</v>
      </c>
      <c r="AK42" s="504">
        <f t="shared" si="12"/>
        <v>0</v>
      </c>
      <c r="AL42" s="504">
        <f t="shared" si="13"/>
      </c>
      <c r="AM42" s="504">
        <f t="shared" si="14"/>
        <v>0</v>
      </c>
      <c r="AN42" s="504">
        <f t="shared" si="15"/>
      </c>
      <c r="AO42" s="505">
        <f t="shared" si="16"/>
      </c>
      <c r="AP42" s="504">
        <f t="shared" si="25"/>
      </c>
      <c r="AQ42" s="505">
        <f t="shared" si="17"/>
      </c>
      <c r="AR42" s="504">
        <f t="shared" si="18"/>
        <v>0</v>
      </c>
      <c r="AS42" s="504">
        <f t="shared" si="19"/>
        <v>0</v>
      </c>
      <c r="AT42" s="504">
        <f t="shared" si="26"/>
        <v>0</v>
      </c>
      <c r="AU42" s="506">
        <f t="shared" si="20"/>
      </c>
      <c r="AV42" s="120"/>
      <c r="AW42" s="500" t="str">
        <f t="shared" si="27"/>
        <v> / </v>
      </c>
      <c r="AX42" s="120"/>
      <c r="AY42" s="120"/>
      <c r="AZ42" s="120"/>
      <c r="BA42" s="120"/>
    </row>
    <row r="43" spans="1:53" s="446" customFormat="1" ht="25.5" customHeight="1">
      <c r="A43" s="553"/>
      <c r="B43" s="555">
        <v>32</v>
      </c>
      <c r="C43" s="575"/>
      <c r="D43" s="576"/>
      <c r="E43" s="442"/>
      <c r="F43" s="443"/>
      <c r="G43" s="444"/>
      <c r="H43" s="442"/>
      <c r="I43" s="443"/>
      <c r="J43" s="575"/>
      <c r="K43" s="576"/>
      <c r="L43" s="442"/>
      <c r="M43" s="443"/>
      <c r="N43" s="444"/>
      <c r="O43" s="442"/>
      <c r="P43" s="443"/>
      <c r="Q43" s="571">
        <f t="shared" si="0"/>
        <v>0</v>
      </c>
      <c r="R43" s="572">
        <f t="shared" si="1"/>
        <v>0</v>
      </c>
      <c r="S43" s="527"/>
      <c r="T43" s="528"/>
      <c r="U43" s="529"/>
      <c r="V43" s="445">
        <f t="shared" si="2"/>
        <v>100</v>
      </c>
      <c r="W43" s="504">
        <f t="shared" si="21"/>
        <v>0</v>
      </c>
      <c r="X43" s="504">
        <f t="shared" si="3"/>
        <v>0</v>
      </c>
      <c r="Y43" s="504">
        <f t="shared" si="4"/>
      </c>
      <c r="Z43" s="504">
        <f t="shared" si="5"/>
        <v>0</v>
      </c>
      <c r="AA43" s="504">
        <f t="shared" si="6"/>
      </c>
      <c r="AB43" s="505">
        <f t="shared" si="7"/>
      </c>
      <c r="AC43" s="504">
        <f t="shared" si="22"/>
      </c>
      <c r="AD43" s="505">
        <f t="shared" si="8"/>
      </c>
      <c r="AE43" s="504">
        <f t="shared" si="9"/>
        <v>0</v>
      </c>
      <c r="AF43" s="504">
        <f t="shared" si="10"/>
        <v>0</v>
      </c>
      <c r="AG43" s="504">
        <f t="shared" si="23"/>
        <v>0</v>
      </c>
      <c r="AH43" s="506">
        <f t="shared" si="11"/>
      </c>
      <c r="AI43" s="120"/>
      <c r="AJ43" s="504">
        <f t="shared" si="24"/>
        <v>0</v>
      </c>
      <c r="AK43" s="504">
        <f t="shared" si="12"/>
        <v>0</v>
      </c>
      <c r="AL43" s="504">
        <f t="shared" si="13"/>
      </c>
      <c r="AM43" s="504">
        <f t="shared" si="14"/>
        <v>0</v>
      </c>
      <c r="AN43" s="504">
        <f t="shared" si="15"/>
      </c>
      <c r="AO43" s="505">
        <f t="shared" si="16"/>
      </c>
      <c r="AP43" s="504">
        <f t="shared" si="25"/>
      </c>
      <c r="AQ43" s="505">
        <f t="shared" si="17"/>
      </c>
      <c r="AR43" s="504">
        <f t="shared" si="18"/>
        <v>0</v>
      </c>
      <c r="AS43" s="504">
        <f t="shared" si="19"/>
        <v>0</v>
      </c>
      <c r="AT43" s="504">
        <f t="shared" si="26"/>
        <v>0</v>
      </c>
      <c r="AU43" s="506">
        <f t="shared" si="20"/>
      </c>
      <c r="AV43" s="120"/>
      <c r="AW43" s="500" t="str">
        <f t="shared" si="27"/>
        <v> / </v>
      </c>
      <c r="AX43" s="120"/>
      <c r="AY43" s="120"/>
      <c r="AZ43" s="120"/>
      <c r="BA43" s="120"/>
    </row>
    <row r="44" spans="1:53" s="446" customFormat="1" ht="25.5" customHeight="1">
      <c r="A44" s="553"/>
      <c r="B44" s="555">
        <v>33</v>
      </c>
      <c r="C44" s="575"/>
      <c r="D44" s="576"/>
      <c r="E44" s="442"/>
      <c r="F44" s="443"/>
      <c r="G44" s="444"/>
      <c r="H44" s="442"/>
      <c r="I44" s="443"/>
      <c r="J44" s="575"/>
      <c r="K44" s="576"/>
      <c r="L44" s="442"/>
      <c r="M44" s="443"/>
      <c r="N44" s="444"/>
      <c r="O44" s="442"/>
      <c r="P44" s="443"/>
      <c r="Q44" s="571">
        <f t="shared" si="0"/>
        <v>0</v>
      </c>
      <c r="R44" s="572">
        <f t="shared" si="1"/>
        <v>0</v>
      </c>
      <c r="S44" s="527"/>
      <c r="T44" s="528"/>
      <c r="U44" s="529"/>
      <c r="V44" s="445">
        <f t="shared" si="2"/>
        <v>100</v>
      </c>
      <c r="W44" s="504">
        <f t="shared" si="21"/>
        <v>0</v>
      </c>
      <c r="X44" s="504">
        <f t="shared" si="3"/>
        <v>0</v>
      </c>
      <c r="Y44" s="504">
        <f t="shared" si="4"/>
      </c>
      <c r="Z44" s="504">
        <f t="shared" si="5"/>
        <v>0</v>
      </c>
      <c r="AA44" s="504">
        <f t="shared" si="6"/>
      </c>
      <c r="AB44" s="505">
        <f t="shared" si="7"/>
      </c>
      <c r="AC44" s="504">
        <f t="shared" si="22"/>
      </c>
      <c r="AD44" s="505">
        <f t="shared" si="8"/>
      </c>
      <c r="AE44" s="504">
        <f t="shared" si="9"/>
        <v>0</v>
      </c>
      <c r="AF44" s="504">
        <f t="shared" si="10"/>
        <v>0</v>
      </c>
      <c r="AG44" s="504">
        <f t="shared" si="23"/>
        <v>0</v>
      </c>
      <c r="AH44" s="506">
        <f t="shared" si="11"/>
      </c>
      <c r="AI44" s="120"/>
      <c r="AJ44" s="504">
        <f t="shared" si="24"/>
        <v>0</v>
      </c>
      <c r="AK44" s="504">
        <f t="shared" si="12"/>
        <v>0</v>
      </c>
      <c r="AL44" s="504">
        <f t="shared" si="13"/>
      </c>
      <c r="AM44" s="504">
        <f t="shared" si="14"/>
        <v>0</v>
      </c>
      <c r="AN44" s="504">
        <f t="shared" si="15"/>
      </c>
      <c r="AO44" s="505">
        <f t="shared" si="16"/>
      </c>
      <c r="AP44" s="504">
        <f t="shared" si="25"/>
      </c>
      <c r="AQ44" s="505">
        <f t="shared" si="17"/>
      </c>
      <c r="AR44" s="504">
        <f t="shared" si="18"/>
        <v>0</v>
      </c>
      <c r="AS44" s="504">
        <f t="shared" si="19"/>
        <v>0</v>
      </c>
      <c r="AT44" s="504">
        <f t="shared" si="26"/>
        <v>0</v>
      </c>
      <c r="AU44" s="506">
        <f t="shared" si="20"/>
      </c>
      <c r="AV44" s="120"/>
      <c r="AW44" s="500" t="str">
        <f t="shared" si="27"/>
        <v> / </v>
      </c>
      <c r="AX44" s="120"/>
      <c r="AY44" s="120"/>
      <c r="AZ44" s="120"/>
      <c r="BA44" s="120"/>
    </row>
    <row r="45" spans="1:53" s="446" customFormat="1" ht="25.5" customHeight="1">
      <c r="A45" s="553"/>
      <c r="B45" s="555">
        <v>34</v>
      </c>
      <c r="C45" s="575"/>
      <c r="D45" s="576"/>
      <c r="E45" s="442"/>
      <c r="F45" s="443"/>
      <c r="G45" s="444"/>
      <c r="H45" s="442"/>
      <c r="I45" s="443"/>
      <c r="J45" s="575"/>
      <c r="K45" s="576"/>
      <c r="L45" s="442"/>
      <c r="M45" s="443"/>
      <c r="N45" s="444"/>
      <c r="O45" s="442"/>
      <c r="P45" s="443"/>
      <c r="Q45" s="571">
        <f t="shared" si="0"/>
        <v>0</v>
      </c>
      <c r="R45" s="572">
        <f t="shared" si="1"/>
        <v>0</v>
      </c>
      <c r="S45" s="527"/>
      <c r="T45" s="528"/>
      <c r="U45" s="529"/>
      <c r="V45" s="445">
        <f t="shared" si="2"/>
        <v>100</v>
      </c>
      <c r="W45" s="504">
        <f t="shared" si="21"/>
        <v>0</v>
      </c>
      <c r="X45" s="504">
        <f t="shared" si="3"/>
        <v>0</v>
      </c>
      <c r="Y45" s="504">
        <f t="shared" si="4"/>
      </c>
      <c r="Z45" s="504">
        <f t="shared" si="5"/>
        <v>0</v>
      </c>
      <c r="AA45" s="504">
        <f t="shared" si="6"/>
      </c>
      <c r="AB45" s="505">
        <f t="shared" si="7"/>
      </c>
      <c r="AC45" s="504">
        <f t="shared" si="22"/>
      </c>
      <c r="AD45" s="505">
        <f t="shared" si="8"/>
      </c>
      <c r="AE45" s="504">
        <f t="shared" si="9"/>
        <v>0</v>
      </c>
      <c r="AF45" s="504">
        <f t="shared" si="10"/>
        <v>0</v>
      </c>
      <c r="AG45" s="504">
        <f t="shared" si="23"/>
        <v>0</v>
      </c>
      <c r="AH45" s="506">
        <f t="shared" si="11"/>
      </c>
      <c r="AI45" s="120"/>
      <c r="AJ45" s="504">
        <f t="shared" si="24"/>
        <v>0</v>
      </c>
      <c r="AK45" s="504">
        <f t="shared" si="12"/>
        <v>0</v>
      </c>
      <c r="AL45" s="504">
        <f t="shared" si="13"/>
      </c>
      <c r="AM45" s="504">
        <f t="shared" si="14"/>
        <v>0</v>
      </c>
      <c r="AN45" s="504">
        <f t="shared" si="15"/>
      </c>
      <c r="AO45" s="505">
        <f t="shared" si="16"/>
      </c>
      <c r="AP45" s="504">
        <f t="shared" si="25"/>
      </c>
      <c r="AQ45" s="505">
        <f t="shared" si="17"/>
      </c>
      <c r="AR45" s="504">
        <f t="shared" si="18"/>
        <v>0</v>
      </c>
      <c r="AS45" s="504">
        <f t="shared" si="19"/>
        <v>0</v>
      </c>
      <c r="AT45" s="504">
        <f t="shared" si="26"/>
        <v>0</v>
      </c>
      <c r="AU45" s="506">
        <f t="shared" si="20"/>
      </c>
      <c r="AV45" s="120"/>
      <c r="AW45" s="500" t="str">
        <f t="shared" si="27"/>
        <v> / </v>
      </c>
      <c r="AX45" s="120"/>
      <c r="AY45" s="120"/>
      <c r="AZ45" s="120"/>
      <c r="BA45" s="120"/>
    </row>
    <row r="46" spans="1:53" s="446" customFormat="1" ht="25.5" customHeight="1">
      <c r="A46" s="553"/>
      <c r="B46" s="555">
        <v>35</v>
      </c>
      <c r="C46" s="575"/>
      <c r="D46" s="576"/>
      <c r="E46" s="442"/>
      <c r="F46" s="443"/>
      <c r="G46" s="444"/>
      <c r="H46" s="442"/>
      <c r="I46" s="443"/>
      <c r="J46" s="575"/>
      <c r="K46" s="576"/>
      <c r="L46" s="442"/>
      <c r="M46" s="443"/>
      <c r="N46" s="444"/>
      <c r="O46" s="442"/>
      <c r="P46" s="443"/>
      <c r="Q46" s="571">
        <f t="shared" si="0"/>
        <v>0</v>
      </c>
      <c r="R46" s="572">
        <f t="shared" si="1"/>
        <v>0</v>
      </c>
      <c r="S46" s="527"/>
      <c r="T46" s="528"/>
      <c r="U46" s="529"/>
      <c r="V46" s="445">
        <f t="shared" si="2"/>
        <v>100</v>
      </c>
      <c r="W46" s="504">
        <f t="shared" si="21"/>
        <v>0</v>
      </c>
      <c r="X46" s="504">
        <f t="shared" si="3"/>
        <v>0</v>
      </c>
      <c r="Y46" s="504">
        <f t="shared" si="4"/>
      </c>
      <c r="Z46" s="504">
        <f t="shared" si="5"/>
        <v>0</v>
      </c>
      <c r="AA46" s="504">
        <f t="shared" si="6"/>
      </c>
      <c r="AB46" s="505">
        <f t="shared" si="7"/>
      </c>
      <c r="AC46" s="504">
        <f t="shared" si="22"/>
      </c>
      <c r="AD46" s="505">
        <f t="shared" si="8"/>
      </c>
      <c r="AE46" s="504">
        <f t="shared" si="9"/>
        <v>0</v>
      </c>
      <c r="AF46" s="504">
        <f t="shared" si="10"/>
        <v>0</v>
      </c>
      <c r="AG46" s="504">
        <f t="shared" si="23"/>
        <v>0</v>
      </c>
      <c r="AH46" s="506">
        <f t="shared" si="11"/>
      </c>
      <c r="AI46" s="120"/>
      <c r="AJ46" s="504">
        <f t="shared" si="24"/>
        <v>0</v>
      </c>
      <c r="AK46" s="504">
        <f t="shared" si="12"/>
        <v>0</v>
      </c>
      <c r="AL46" s="504">
        <f t="shared" si="13"/>
      </c>
      <c r="AM46" s="504">
        <f t="shared" si="14"/>
        <v>0</v>
      </c>
      <c r="AN46" s="504">
        <f t="shared" si="15"/>
      </c>
      <c r="AO46" s="505">
        <f t="shared" si="16"/>
      </c>
      <c r="AP46" s="504">
        <f t="shared" si="25"/>
      </c>
      <c r="AQ46" s="505">
        <f t="shared" si="17"/>
      </c>
      <c r="AR46" s="504">
        <f t="shared" si="18"/>
        <v>0</v>
      </c>
      <c r="AS46" s="504">
        <f t="shared" si="19"/>
        <v>0</v>
      </c>
      <c r="AT46" s="504">
        <f t="shared" si="26"/>
        <v>0</v>
      </c>
      <c r="AU46" s="506">
        <f t="shared" si="20"/>
      </c>
      <c r="AV46" s="120"/>
      <c r="AW46" s="500" t="str">
        <f t="shared" si="27"/>
        <v> / </v>
      </c>
      <c r="AX46" s="120"/>
      <c r="AY46" s="120"/>
      <c r="AZ46" s="120"/>
      <c r="BA46" s="120"/>
    </row>
    <row r="47" spans="1:53" s="446" customFormat="1" ht="25.5" customHeight="1">
      <c r="A47" s="553"/>
      <c r="B47" s="555">
        <v>36</v>
      </c>
      <c r="C47" s="575"/>
      <c r="D47" s="576"/>
      <c r="E47" s="442"/>
      <c r="F47" s="443"/>
      <c r="G47" s="444"/>
      <c r="H47" s="442"/>
      <c r="I47" s="443"/>
      <c r="J47" s="575"/>
      <c r="K47" s="576"/>
      <c r="L47" s="442"/>
      <c r="M47" s="443"/>
      <c r="N47" s="444"/>
      <c r="O47" s="442"/>
      <c r="P47" s="443"/>
      <c r="Q47" s="571">
        <f t="shared" si="0"/>
        <v>0</v>
      </c>
      <c r="R47" s="572">
        <f t="shared" si="1"/>
        <v>0</v>
      </c>
      <c r="S47" s="527"/>
      <c r="T47" s="528"/>
      <c r="U47" s="529"/>
      <c r="V47" s="445">
        <f t="shared" si="2"/>
        <v>100</v>
      </c>
      <c r="W47" s="504">
        <f t="shared" si="21"/>
        <v>0</v>
      </c>
      <c r="X47" s="504">
        <f t="shared" si="3"/>
        <v>0</v>
      </c>
      <c r="Y47" s="504">
        <f t="shared" si="4"/>
      </c>
      <c r="Z47" s="504">
        <f t="shared" si="5"/>
        <v>0</v>
      </c>
      <c r="AA47" s="504">
        <f t="shared" si="6"/>
      </c>
      <c r="AB47" s="505">
        <f t="shared" si="7"/>
      </c>
      <c r="AC47" s="504">
        <f t="shared" si="22"/>
      </c>
      <c r="AD47" s="505">
        <f t="shared" si="8"/>
      </c>
      <c r="AE47" s="504">
        <f t="shared" si="9"/>
        <v>0</v>
      </c>
      <c r="AF47" s="504">
        <f t="shared" si="10"/>
        <v>0</v>
      </c>
      <c r="AG47" s="504">
        <f t="shared" si="23"/>
        <v>0</v>
      </c>
      <c r="AH47" s="506">
        <f t="shared" si="11"/>
      </c>
      <c r="AI47" s="120"/>
      <c r="AJ47" s="504">
        <f t="shared" si="24"/>
        <v>0</v>
      </c>
      <c r="AK47" s="504">
        <f t="shared" si="12"/>
        <v>0</v>
      </c>
      <c r="AL47" s="504">
        <f t="shared" si="13"/>
      </c>
      <c r="AM47" s="504">
        <f t="shared" si="14"/>
        <v>0</v>
      </c>
      <c r="AN47" s="504">
        <f t="shared" si="15"/>
      </c>
      <c r="AO47" s="505">
        <f t="shared" si="16"/>
      </c>
      <c r="AP47" s="504">
        <f t="shared" si="25"/>
      </c>
      <c r="AQ47" s="505">
        <f t="shared" si="17"/>
      </c>
      <c r="AR47" s="504">
        <f t="shared" si="18"/>
        <v>0</v>
      </c>
      <c r="AS47" s="504">
        <f t="shared" si="19"/>
        <v>0</v>
      </c>
      <c r="AT47" s="504">
        <f t="shared" si="26"/>
        <v>0</v>
      </c>
      <c r="AU47" s="506">
        <f t="shared" si="20"/>
      </c>
      <c r="AV47" s="120"/>
      <c r="AW47" s="500" t="str">
        <f t="shared" si="27"/>
        <v> / </v>
      </c>
      <c r="AX47" s="120"/>
      <c r="AY47" s="120"/>
      <c r="AZ47" s="120"/>
      <c r="BA47" s="120"/>
    </row>
    <row r="48" spans="1:53" s="446" customFormat="1" ht="25.5" customHeight="1">
      <c r="A48" s="553"/>
      <c r="B48" s="555">
        <v>37</v>
      </c>
      <c r="C48" s="575"/>
      <c r="D48" s="576"/>
      <c r="E48" s="442"/>
      <c r="F48" s="443"/>
      <c r="G48" s="444"/>
      <c r="H48" s="442"/>
      <c r="I48" s="443"/>
      <c r="J48" s="575"/>
      <c r="K48" s="576"/>
      <c r="L48" s="442"/>
      <c r="M48" s="443"/>
      <c r="N48" s="444"/>
      <c r="O48" s="442"/>
      <c r="P48" s="443"/>
      <c r="Q48" s="571">
        <f t="shared" si="0"/>
        <v>0</v>
      </c>
      <c r="R48" s="572">
        <f t="shared" si="1"/>
        <v>0</v>
      </c>
      <c r="S48" s="527"/>
      <c r="T48" s="528"/>
      <c r="U48" s="529"/>
      <c r="V48" s="445">
        <f t="shared" si="2"/>
        <v>100</v>
      </c>
      <c r="W48" s="504">
        <f t="shared" si="21"/>
        <v>0</v>
      </c>
      <c r="X48" s="504">
        <f t="shared" si="3"/>
        <v>0</v>
      </c>
      <c r="Y48" s="504">
        <f t="shared" si="4"/>
      </c>
      <c r="Z48" s="504">
        <f t="shared" si="5"/>
        <v>0</v>
      </c>
      <c r="AA48" s="504">
        <f t="shared" si="6"/>
      </c>
      <c r="AB48" s="505">
        <f t="shared" si="7"/>
      </c>
      <c r="AC48" s="504">
        <f t="shared" si="22"/>
      </c>
      <c r="AD48" s="505">
        <f t="shared" si="8"/>
      </c>
      <c r="AE48" s="504">
        <f t="shared" si="9"/>
        <v>0</v>
      </c>
      <c r="AF48" s="504">
        <f t="shared" si="10"/>
        <v>0</v>
      </c>
      <c r="AG48" s="504">
        <f t="shared" si="23"/>
        <v>0</v>
      </c>
      <c r="AH48" s="506">
        <f t="shared" si="11"/>
      </c>
      <c r="AI48" s="120"/>
      <c r="AJ48" s="504">
        <f t="shared" si="24"/>
        <v>0</v>
      </c>
      <c r="AK48" s="504">
        <f t="shared" si="12"/>
        <v>0</v>
      </c>
      <c r="AL48" s="504">
        <f t="shared" si="13"/>
      </c>
      <c r="AM48" s="504">
        <f t="shared" si="14"/>
        <v>0</v>
      </c>
      <c r="AN48" s="504">
        <f t="shared" si="15"/>
      </c>
      <c r="AO48" s="505">
        <f t="shared" si="16"/>
      </c>
      <c r="AP48" s="504">
        <f t="shared" si="25"/>
      </c>
      <c r="AQ48" s="505">
        <f t="shared" si="17"/>
      </c>
      <c r="AR48" s="504">
        <f t="shared" si="18"/>
        <v>0</v>
      </c>
      <c r="AS48" s="504">
        <f t="shared" si="19"/>
        <v>0</v>
      </c>
      <c r="AT48" s="504">
        <f t="shared" si="26"/>
        <v>0</v>
      </c>
      <c r="AU48" s="506">
        <f t="shared" si="20"/>
      </c>
      <c r="AV48" s="120"/>
      <c r="AW48" s="500" t="str">
        <f t="shared" si="27"/>
        <v> / </v>
      </c>
      <c r="AX48" s="120"/>
      <c r="AY48" s="120"/>
      <c r="AZ48" s="120"/>
      <c r="BA48" s="120"/>
    </row>
    <row r="49" spans="1:53" s="446" customFormat="1" ht="25.5" customHeight="1">
      <c r="A49" s="553"/>
      <c r="B49" s="555">
        <v>38</v>
      </c>
      <c r="C49" s="575"/>
      <c r="D49" s="576"/>
      <c r="E49" s="442"/>
      <c r="F49" s="443"/>
      <c r="G49" s="444"/>
      <c r="H49" s="442"/>
      <c r="I49" s="443"/>
      <c r="J49" s="575"/>
      <c r="K49" s="576"/>
      <c r="L49" s="442"/>
      <c r="M49" s="443"/>
      <c r="N49" s="444"/>
      <c r="O49" s="442"/>
      <c r="P49" s="443"/>
      <c r="Q49" s="571">
        <f t="shared" si="0"/>
        <v>0</v>
      </c>
      <c r="R49" s="572">
        <f t="shared" si="1"/>
        <v>0</v>
      </c>
      <c r="S49" s="527"/>
      <c r="T49" s="528"/>
      <c r="U49" s="529"/>
      <c r="V49" s="445">
        <f t="shared" si="2"/>
        <v>100</v>
      </c>
      <c r="W49" s="504">
        <f t="shared" si="21"/>
        <v>0</v>
      </c>
      <c r="X49" s="504">
        <f t="shared" si="3"/>
        <v>0</v>
      </c>
      <c r="Y49" s="504">
        <f t="shared" si="4"/>
      </c>
      <c r="Z49" s="504">
        <f t="shared" si="5"/>
        <v>0</v>
      </c>
      <c r="AA49" s="504">
        <f t="shared" si="6"/>
      </c>
      <c r="AB49" s="505">
        <f t="shared" si="7"/>
      </c>
      <c r="AC49" s="504">
        <f t="shared" si="22"/>
      </c>
      <c r="AD49" s="505">
        <f t="shared" si="8"/>
      </c>
      <c r="AE49" s="504">
        <f t="shared" si="9"/>
        <v>0</v>
      </c>
      <c r="AF49" s="504">
        <f t="shared" si="10"/>
        <v>0</v>
      </c>
      <c r="AG49" s="504">
        <f t="shared" si="23"/>
        <v>0</v>
      </c>
      <c r="AH49" s="506">
        <f t="shared" si="11"/>
      </c>
      <c r="AI49" s="120"/>
      <c r="AJ49" s="504">
        <f t="shared" si="24"/>
        <v>0</v>
      </c>
      <c r="AK49" s="504">
        <f t="shared" si="12"/>
        <v>0</v>
      </c>
      <c r="AL49" s="504">
        <f t="shared" si="13"/>
      </c>
      <c r="AM49" s="504">
        <f t="shared" si="14"/>
        <v>0</v>
      </c>
      <c r="AN49" s="504">
        <f t="shared" si="15"/>
      </c>
      <c r="AO49" s="505">
        <f t="shared" si="16"/>
      </c>
      <c r="AP49" s="504">
        <f t="shared" si="25"/>
      </c>
      <c r="AQ49" s="505">
        <f t="shared" si="17"/>
      </c>
      <c r="AR49" s="504">
        <f t="shared" si="18"/>
        <v>0</v>
      </c>
      <c r="AS49" s="504">
        <f t="shared" si="19"/>
        <v>0</v>
      </c>
      <c r="AT49" s="504">
        <f t="shared" si="26"/>
        <v>0</v>
      </c>
      <c r="AU49" s="506">
        <f t="shared" si="20"/>
      </c>
      <c r="AV49" s="120"/>
      <c r="AW49" s="500" t="str">
        <f t="shared" si="27"/>
        <v> / </v>
      </c>
      <c r="AX49" s="120"/>
      <c r="AY49" s="120"/>
      <c r="AZ49" s="120"/>
      <c r="BA49" s="120"/>
    </row>
    <row r="50" spans="1:53" s="446" customFormat="1" ht="25.5" customHeight="1">
      <c r="A50" s="553"/>
      <c r="B50" s="555">
        <v>39</v>
      </c>
      <c r="C50" s="575"/>
      <c r="D50" s="576"/>
      <c r="E50" s="442"/>
      <c r="F50" s="443"/>
      <c r="G50" s="444"/>
      <c r="H50" s="442"/>
      <c r="I50" s="443"/>
      <c r="J50" s="575"/>
      <c r="K50" s="576"/>
      <c r="L50" s="442"/>
      <c r="M50" s="443"/>
      <c r="N50" s="444"/>
      <c r="O50" s="442"/>
      <c r="P50" s="443"/>
      <c r="Q50" s="571">
        <f t="shared" si="0"/>
        <v>0</v>
      </c>
      <c r="R50" s="572">
        <f t="shared" si="1"/>
        <v>0</v>
      </c>
      <c r="S50" s="527"/>
      <c r="T50" s="528"/>
      <c r="U50" s="529"/>
      <c r="V50" s="445">
        <f t="shared" si="2"/>
        <v>100</v>
      </c>
      <c r="W50" s="504">
        <f t="shared" si="21"/>
        <v>0</v>
      </c>
      <c r="X50" s="504">
        <f t="shared" si="3"/>
        <v>0</v>
      </c>
      <c r="Y50" s="504">
        <f t="shared" si="4"/>
      </c>
      <c r="Z50" s="504">
        <f t="shared" si="5"/>
        <v>0</v>
      </c>
      <c r="AA50" s="504">
        <f t="shared" si="6"/>
      </c>
      <c r="AB50" s="505">
        <f t="shared" si="7"/>
      </c>
      <c r="AC50" s="504">
        <f t="shared" si="22"/>
      </c>
      <c r="AD50" s="505">
        <f t="shared" si="8"/>
      </c>
      <c r="AE50" s="504">
        <f t="shared" si="9"/>
        <v>0</v>
      </c>
      <c r="AF50" s="504">
        <f t="shared" si="10"/>
        <v>0</v>
      </c>
      <c r="AG50" s="504">
        <f t="shared" si="23"/>
        <v>0</v>
      </c>
      <c r="AH50" s="506">
        <f t="shared" si="11"/>
      </c>
      <c r="AI50" s="120"/>
      <c r="AJ50" s="504">
        <f t="shared" si="24"/>
        <v>0</v>
      </c>
      <c r="AK50" s="504">
        <f t="shared" si="12"/>
        <v>0</v>
      </c>
      <c r="AL50" s="504">
        <f t="shared" si="13"/>
      </c>
      <c r="AM50" s="504">
        <f t="shared" si="14"/>
        <v>0</v>
      </c>
      <c r="AN50" s="504">
        <f t="shared" si="15"/>
      </c>
      <c r="AO50" s="505">
        <f t="shared" si="16"/>
      </c>
      <c r="AP50" s="504">
        <f t="shared" si="25"/>
      </c>
      <c r="AQ50" s="505">
        <f t="shared" si="17"/>
      </c>
      <c r="AR50" s="504">
        <f t="shared" si="18"/>
        <v>0</v>
      </c>
      <c r="AS50" s="504">
        <f t="shared" si="19"/>
        <v>0</v>
      </c>
      <c r="AT50" s="504">
        <f t="shared" si="26"/>
        <v>0</v>
      </c>
      <c r="AU50" s="506">
        <f t="shared" si="20"/>
      </c>
      <c r="AV50" s="120"/>
      <c r="AW50" s="500" t="str">
        <f t="shared" si="27"/>
        <v> / </v>
      </c>
      <c r="AX50" s="120"/>
      <c r="AY50" s="120"/>
      <c r="AZ50" s="120"/>
      <c r="BA50" s="120"/>
    </row>
    <row r="51" spans="1:53" s="446" customFormat="1" ht="25.5" customHeight="1">
      <c r="A51" s="553"/>
      <c r="B51" s="555">
        <v>40</v>
      </c>
      <c r="C51" s="575"/>
      <c r="D51" s="576"/>
      <c r="E51" s="442"/>
      <c r="F51" s="443"/>
      <c r="G51" s="444"/>
      <c r="H51" s="442"/>
      <c r="I51" s="443"/>
      <c r="J51" s="575"/>
      <c r="K51" s="576"/>
      <c r="L51" s="442"/>
      <c r="M51" s="443"/>
      <c r="N51" s="444"/>
      <c r="O51" s="442"/>
      <c r="P51" s="443"/>
      <c r="Q51" s="571">
        <f t="shared" si="0"/>
        <v>0</v>
      </c>
      <c r="R51" s="572">
        <f t="shared" si="1"/>
        <v>0</v>
      </c>
      <c r="S51" s="527"/>
      <c r="T51" s="528"/>
      <c r="U51" s="529"/>
      <c r="V51" s="445">
        <f t="shared" si="2"/>
        <v>100</v>
      </c>
      <c r="W51" s="504">
        <f t="shared" si="21"/>
        <v>0</v>
      </c>
      <c r="X51" s="504">
        <f t="shared" si="3"/>
        <v>0</v>
      </c>
      <c r="Y51" s="504">
        <f t="shared" si="4"/>
      </c>
      <c r="Z51" s="504">
        <f t="shared" si="5"/>
        <v>0</v>
      </c>
      <c r="AA51" s="504">
        <f t="shared" si="6"/>
      </c>
      <c r="AB51" s="505">
        <f t="shared" si="7"/>
      </c>
      <c r="AC51" s="504">
        <f t="shared" si="22"/>
      </c>
      <c r="AD51" s="505">
        <f t="shared" si="8"/>
      </c>
      <c r="AE51" s="504">
        <f t="shared" si="9"/>
        <v>0</v>
      </c>
      <c r="AF51" s="504">
        <f t="shared" si="10"/>
        <v>0</v>
      </c>
      <c r="AG51" s="504">
        <f t="shared" si="23"/>
        <v>0</v>
      </c>
      <c r="AH51" s="506">
        <f t="shared" si="11"/>
      </c>
      <c r="AI51" s="120"/>
      <c r="AJ51" s="504">
        <f t="shared" si="24"/>
        <v>0</v>
      </c>
      <c r="AK51" s="504">
        <f t="shared" si="12"/>
        <v>0</v>
      </c>
      <c r="AL51" s="504">
        <f t="shared" si="13"/>
      </c>
      <c r="AM51" s="504">
        <f t="shared" si="14"/>
        <v>0</v>
      </c>
      <c r="AN51" s="504">
        <f t="shared" si="15"/>
      </c>
      <c r="AO51" s="505">
        <f t="shared" si="16"/>
      </c>
      <c r="AP51" s="504">
        <f t="shared" si="25"/>
      </c>
      <c r="AQ51" s="505">
        <f t="shared" si="17"/>
      </c>
      <c r="AR51" s="504">
        <f t="shared" si="18"/>
        <v>0</v>
      </c>
      <c r="AS51" s="504">
        <f t="shared" si="19"/>
        <v>0</v>
      </c>
      <c r="AT51" s="504">
        <f t="shared" si="26"/>
        <v>0</v>
      </c>
      <c r="AU51" s="506">
        <f t="shared" si="20"/>
      </c>
      <c r="AV51" s="120"/>
      <c r="AW51" s="500" t="str">
        <f t="shared" si="27"/>
        <v> / </v>
      </c>
      <c r="AX51" s="120"/>
      <c r="AY51" s="120"/>
      <c r="AZ51" s="120"/>
      <c r="BA51" s="120"/>
    </row>
    <row r="52" spans="1:53" s="446" customFormat="1" ht="25.5" customHeight="1">
      <c r="A52" s="553"/>
      <c r="B52" s="555">
        <v>41</v>
      </c>
      <c r="C52" s="575"/>
      <c r="D52" s="576"/>
      <c r="E52" s="442"/>
      <c r="F52" s="443"/>
      <c r="G52" s="444"/>
      <c r="H52" s="442"/>
      <c r="I52" s="443"/>
      <c r="J52" s="575"/>
      <c r="K52" s="576"/>
      <c r="L52" s="442"/>
      <c r="M52" s="443"/>
      <c r="N52" s="444"/>
      <c r="O52" s="442"/>
      <c r="P52" s="443"/>
      <c r="Q52" s="571">
        <f t="shared" si="0"/>
        <v>0</v>
      </c>
      <c r="R52" s="572">
        <f t="shared" si="1"/>
        <v>0</v>
      </c>
      <c r="S52" s="527"/>
      <c r="T52" s="528"/>
      <c r="U52" s="529"/>
      <c r="V52" s="445">
        <f t="shared" si="2"/>
        <v>100</v>
      </c>
      <c r="W52" s="504">
        <f t="shared" si="21"/>
        <v>0</v>
      </c>
      <c r="X52" s="504">
        <f t="shared" si="3"/>
        <v>0</v>
      </c>
      <c r="Y52" s="504">
        <f t="shared" si="4"/>
      </c>
      <c r="Z52" s="504">
        <f t="shared" si="5"/>
        <v>0</v>
      </c>
      <c r="AA52" s="504">
        <f t="shared" si="6"/>
      </c>
      <c r="AB52" s="505">
        <f t="shared" si="7"/>
      </c>
      <c r="AC52" s="504">
        <f t="shared" si="22"/>
      </c>
      <c r="AD52" s="505">
        <f t="shared" si="8"/>
      </c>
      <c r="AE52" s="504">
        <f t="shared" si="9"/>
        <v>0</v>
      </c>
      <c r="AF52" s="504">
        <f t="shared" si="10"/>
        <v>0</v>
      </c>
      <c r="AG52" s="504">
        <f t="shared" si="23"/>
        <v>0</v>
      </c>
      <c r="AH52" s="506">
        <f t="shared" si="11"/>
      </c>
      <c r="AI52" s="120"/>
      <c r="AJ52" s="504">
        <f t="shared" si="24"/>
        <v>0</v>
      </c>
      <c r="AK52" s="504">
        <f t="shared" si="12"/>
        <v>0</v>
      </c>
      <c r="AL52" s="504">
        <f t="shared" si="13"/>
      </c>
      <c r="AM52" s="504">
        <f t="shared" si="14"/>
        <v>0</v>
      </c>
      <c r="AN52" s="504">
        <f t="shared" si="15"/>
      </c>
      <c r="AO52" s="505">
        <f t="shared" si="16"/>
      </c>
      <c r="AP52" s="504">
        <f t="shared" si="25"/>
      </c>
      <c r="AQ52" s="505">
        <f t="shared" si="17"/>
      </c>
      <c r="AR52" s="504">
        <f t="shared" si="18"/>
        <v>0</v>
      </c>
      <c r="AS52" s="504">
        <f t="shared" si="19"/>
        <v>0</v>
      </c>
      <c r="AT52" s="504">
        <f t="shared" si="26"/>
        <v>0</v>
      </c>
      <c r="AU52" s="506">
        <f t="shared" si="20"/>
      </c>
      <c r="AV52" s="120"/>
      <c r="AW52" s="500" t="str">
        <f t="shared" si="27"/>
        <v> / </v>
      </c>
      <c r="AX52" s="120"/>
      <c r="AY52" s="120"/>
      <c r="AZ52" s="120"/>
      <c r="BA52" s="120"/>
    </row>
    <row r="53" spans="1:53" s="446" customFormat="1" ht="25.5" customHeight="1">
      <c r="A53" s="553"/>
      <c r="B53" s="555">
        <v>42</v>
      </c>
      <c r="C53" s="575"/>
      <c r="D53" s="576"/>
      <c r="E53" s="442"/>
      <c r="F53" s="443"/>
      <c r="G53" s="444"/>
      <c r="H53" s="442"/>
      <c r="I53" s="443"/>
      <c r="J53" s="575"/>
      <c r="K53" s="576"/>
      <c r="L53" s="442"/>
      <c r="M53" s="443"/>
      <c r="N53" s="444"/>
      <c r="O53" s="442"/>
      <c r="P53" s="443"/>
      <c r="Q53" s="571">
        <f t="shared" si="0"/>
        <v>0</v>
      </c>
      <c r="R53" s="572">
        <f t="shared" si="1"/>
        <v>0</v>
      </c>
      <c r="S53" s="527"/>
      <c r="T53" s="528"/>
      <c r="U53" s="529"/>
      <c r="V53" s="445">
        <f t="shared" si="2"/>
        <v>100</v>
      </c>
      <c r="W53" s="504">
        <f t="shared" si="21"/>
        <v>0</v>
      </c>
      <c r="X53" s="504">
        <f t="shared" si="3"/>
        <v>0</v>
      </c>
      <c r="Y53" s="504">
        <f t="shared" si="4"/>
      </c>
      <c r="Z53" s="504">
        <f t="shared" si="5"/>
        <v>0</v>
      </c>
      <c r="AA53" s="504">
        <f t="shared" si="6"/>
      </c>
      <c r="AB53" s="505">
        <f t="shared" si="7"/>
      </c>
      <c r="AC53" s="504">
        <f t="shared" si="22"/>
      </c>
      <c r="AD53" s="505">
        <f t="shared" si="8"/>
      </c>
      <c r="AE53" s="504">
        <f t="shared" si="9"/>
        <v>0</v>
      </c>
      <c r="AF53" s="504">
        <f t="shared" si="10"/>
        <v>0</v>
      </c>
      <c r="AG53" s="504">
        <f t="shared" si="23"/>
        <v>0</v>
      </c>
      <c r="AH53" s="506">
        <f t="shared" si="11"/>
      </c>
      <c r="AI53" s="120"/>
      <c r="AJ53" s="504">
        <f t="shared" si="24"/>
        <v>0</v>
      </c>
      <c r="AK53" s="504">
        <f t="shared" si="12"/>
        <v>0</v>
      </c>
      <c r="AL53" s="504">
        <f t="shared" si="13"/>
      </c>
      <c r="AM53" s="504">
        <f t="shared" si="14"/>
        <v>0</v>
      </c>
      <c r="AN53" s="504">
        <f t="shared" si="15"/>
      </c>
      <c r="AO53" s="505">
        <f t="shared" si="16"/>
      </c>
      <c r="AP53" s="504">
        <f t="shared" si="25"/>
      </c>
      <c r="AQ53" s="505">
        <f t="shared" si="17"/>
      </c>
      <c r="AR53" s="504">
        <f t="shared" si="18"/>
        <v>0</v>
      </c>
      <c r="AS53" s="504">
        <f t="shared" si="19"/>
        <v>0</v>
      </c>
      <c r="AT53" s="504">
        <f t="shared" si="26"/>
        <v>0</v>
      </c>
      <c r="AU53" s="506">
        <f t="shared" si="20"/>
      </c>
      <c r="AV53" s="120"/>
      <c r="AW53" s="500" t="str">
        <f t="shared" si="27"/>
        <v> / </v>
      </c>
      <c r="AX53" s="120"/>
      <c r="AY53" s="120"/>
      <c r="AZ53" s="120"/>
      <c r="BA53" s="120"/>
    </row>
    <row r="54" spans="1:53" s="446" customFormat="1" ht="25.5" customHeight="1">
      <c r="A54" s="553"/>
      <c r="B54" s="555">
        <v>43</v>
      </c>
      <c r="C54" s="575"/>
      <c r="D54" s="576"/>
      <c r="E54" s="442"/>
      <c r="F54" s="443"/>
      <c r="G54" s="444"/>
      <c r="H54" s="442"/>
      <c r="I54" s="443"/>
      <c r="J54" s="575"/>
      <c r="K54" s="576"/>
      <c r="L54" s="442"/>
      <c r="M54" s="443"/>
      <c r="N54" s="444"/>
      <c r="O54" s="442"/>
      <c r="P54" s="443"/>
      <c r="Q54" s="571">
        <f t="shared" si="0"/>
        <v>0</v>
      </c>
      <c r="R54" s="572">
        <f t="shared" si="1"/>
        <v>0</v>
      </c>
      <c r="S54" s="527"/>
      <c r="T54" s="528"/>
      <c r="U54" s="529"/>
      <c r="V54" s="445">
        <f t="shared" si="2"/>
        <v>100</v>
      </c>
      <c r="W54" s="504">
        <f t="shared" si="21"/>
        <v>0</v>
      </c>
      <c r="X54" s="504">
        <f t="shared" si="3"/>
        <v>0</v>
      </c>
      <c r="Y54" s="504">
        <f t="shared" si="4"/>
      </c>
      <c r="Z54" s="504">
        <f t="shared" si="5"/>
        <v>0</v>
      </c>
      <c r="AA54" s="504">
        <f t="shared" si="6"/>
      </c>
      <c r="AB54" s="505">
        <f t="shared" si="7"/>
      </c>
      <c r="AC54" s="504">
        <f t="shared" si="22"/>
      </c>
      <c r="AD54" s="505">
        <f t="shared" si="8"/>
      </c>
      <c r="AE54" s="504">
        <f t="shared" si="9"/>
        <v>0</v>
      </c>
      <c r="AF54" s="504">
        <f t="shared" si="10"/>
        <v>0</v>
      </c>
      <c r="AG54" s="504">
        <f t="shared" si="23"/>
        <v>0</v>
      </c>
      <c r="AH54" s="506">
        <f t="shared" si="11"/>
      </c>
      <c r="AI54" s="120"/>
      <c r="AJ54" s="504">
        <f t="shared" si="24"/>
        <v>0</v>
      </c>
      <c r="AK54" s="504">
        <f t="shared" si="12"/>
        <v>0</v>
      </c>
      <c r="AL54" s="504">
        <f t="shared" si="13"/>
      </c>
      <c r="AM54" s="504">
        <f t="shared" si="14"/>
        <v>0</v>
      </c>
      <c r="AN54" s="504">
        <f t="shared" si="15"/>
      </c>
      <c r="AO54" s="505">
        <f t="shared" si="16"/>
      </c>
      <c r="AP54" s="504">
        <f t="shared" si="25"/>
      </c>
      <c r="AQ54" s="505">
        <f t="shared" si="17"/>
      </c>
      <c r="AR54" s="504">
        <f t="shared" si="18"/>
        <v>0</v>
      </c>
      <c r="AS54" s="504">
        <f t="shared" si="19"/>
        <v>0</v>
      </c>
      <c r="AT54" s="504">
        <f t="shared" si="26"/>
        <v>0</v>
      </c>
      <c r="AU54" s="506">
        <f t="shared" si="20"/>
      </c>
      <c r="AV54" s="120"/>
      <c r="AW54" s="500" t="str">
        <f t="shared" si="27"/>
        <v> / </v>
      </c>
      <c r="AX54" s="120"/>
      <c r="AY54" s="120"/>
      <c r="AZ54" s="120"/>
      <c r="BA54" s="120"/>
    </row>
    <row r="55" spans="1:53" s="446" customFormat="1" ht="25.5" customHeight="1">
      <c r="A55" s="553"/>
      <c r="B55" s="555">
        <v>44</v>
      </c>
      <c r="C55" s="575"/>
      <c r="D55" s="576"/>
      <c r="E55" s="442"/>
      <c r="F55" s="443"/>
      <c r="G55" s="444"/>
      <c r="H55" s="442"/>
      <c r="I55" s="443"/>
      <c r="J55" s="575"/>
      <c r="K55" s="576"/>
      <c r="L55" s="442"/>
      <c r="M55" s="443"/>
      <c r="N55" s="444"/>
      <c r="O55" s="442"/>
      <c r="P55" s="443"/>
      <c r="Q55" s="571">
        <f t="shared" si="0"/>
        <v>0</v>
      </c>
      <c r="R55" s="572">
        <f t="shared" si="1"/>
        <v>0</v>
      </c>
      <c r="S55" s="527"/>
      <c r="T55" s="528"/>
      <c r="U55" s="529"/>
      <c r="V55" s="445">
        <f t="shared" si="2"/>
        <v>100</v>
      </c>
      <c r="W55" s="504">
        <f t="shared" si="21"/>
        <v>0</v>
      </c>
      <c r="X55" s="504">
        <f t="shared" si="3"/>
        <v>0</v>
      </c>
      <c r="Y55" s="504">
        <f t="shared" si="4"/>
      </c>
      <c r="Z55" s="504">
        <f t="shared" si="5"/>
        <v>0</v>
      </c>
      <c r="AA55" s="504">
        <f t="shared" si="6"/>
      </c>
      <c r="AB55" s="505">
        <f t="shared" si="7"/>
      </c>
      <c r="AC55" s="504">
        <f t="shared" si="22"/>
      </c>
      <c r="AD55" s="505">
        <f t="shared" si="8"/>
      </c>
      <c r="AE55" s="504">
        <f t="shared" si="9"/>
        <v>0</v>
      </c>
      <c r="AF55" s="504">
        <f t="shared" si="10"/>
        <v>0</v>
      </c>
      <c r="AG55" s="504">
        <f t="shared" si="23"/>
        <v>0</v>
      </c>
      <c r="AH55" s="506">
        <f t="shared" si="11"/>
      </c>
      <c r="AI55" s="120"/>
      <c r="AJ55" s="504">
        <f t="shared" si="24"/>
        <v>0</v>
      </c>
      <c r="AK55" s="504">
        <f t="shared" si="12"/>
        <v>0</v>
      </c>
      <c r="AL55" s="504">
        <f t="shared" si="13"/>
      </c>
      <c r="AM55" s="504">
        <f t="shared" si="14"/>
        <v>0</v>
      </c>
      <c r="AN55" s="504">
        <f t="shared" si="15"/>
      </c>
      <c r="AO55" s="505">
        <f t="shared" si="16"/>
      </c>
      <c r="AP55" s="504">
        <f t="shared" si="25"/>
      </c>
      <c r="AQ55" s="505">
        <f t="shared" si="17"/>
      </c>
      <c r="AR55" s="504">
        <f t="shared" si="18"/>
        <v>0</v>
      </c>
      <c r="AS55" s="504">
        <f t="shared" si="19"/>
        <v>0</v>
      </c>
      <c r="AT55" s="504">
        <f t="shared" si="26"/>
        <v>0</v>
      </c>
      <c r="AU55" s="506">
        <f t="shared" si="20"/>
      </c>
      <c r="AV55" s="120"/>
      <c r="AW55" s="500" t="str">
        <f t="shared" si="27"/>
        <v> / </v>
      </c>
      <c r="AX55" s="120"/>
      <c r="AY55" s="120"/>
      <c r="AZ55" s="120"/>
      <c r="BA55" s="120"/>
    </row>
    <row r="56" spans="1:53" s="446" customFormat="1" ht="25.5" customHeight="1" thickBot="1">
      <c r="A56" s="554"/>
      <c r="B56" s="564">
        <v>45</v>
      </c>
      <c r="C56" s="577"/>
      <c r="D56" s="578"/>
      <c r="E56" s="565"/>
      <c r="F56" s="566"/>
      <c r="G56" s="567"/>
      <c r="H56" s="565"/>
      <c r="I56" s="566"/>
      <c r="J56" s="577"/>
      <c r="K56" s="578"/>
      <c r="L56" s="565"/>
      <c r="M56" s="566"/>
      <c r="N56" s="567"/>
      <c r="O56" s="565"/>
      <c r="P56" s="566"/>
      <c r="Q56" s="573">
        <f t="shared" si="0"/>
        <v>0</v>
      </c>
      <c r="R56" s="574">
        <f t="shared" si="1"/>
        <v>0</v>
      </c>
      <c r="S56" s="530"/>
      <c r="T56" s="531"/>
      <c r="U56" s="532"/>
      <c r="V56" s="445">
        <f t="shared" si="2"/>
        <v>100</v>
      </c>
      <c r="W56" s="504">
        <f t="shared" si="21"/>
        <v>0</v>
      </c>
      <c r="X56" s="504">
        <f t="shared" si="3"/>
        <v>0</v>
      </c>
      <c r="Y56" s="504">
        <f t="shared" si="4"/>
      </c>
      <c r="Z56" s="504">
        <f t="shared" si="5"/>
        <v>0</v>
      </c>
      <c r="AA56" s="504">
        <f t="shared" si="6"/>
      </c>
      <c r="AB56" s="505">
        <f t="shared" si="7"/>
      </c>
      <c r="AC56" s="504">
        <f t="shared" si="22"/>
      </c>
      <c r="AD56" s="505">
        <f t="shared" si="8"/>
      </c>
      <c r="AE56" s="504">
        <f t="shared" si="9"/>
        <v>0</v>
      </c>
      <c r="AF56" s="504">
        <f t="shared" si="10"/>
        <v>0</v>
      </c>
      <c r="AG56" s="504">
        <f t="shared" si="23"/>
        <v>0</v>
      </c>
      <c r="AH56" s="506">
        <f t="shared" si="11"/>
      </c>
      <c r="AI56" s="120"/>
      <c r="AJ56" s="504">
        <f t="shared" si="24"/>
        <v>0</v>
      </c>
      <c r="AK56" s="504">
        <f t="shared" si="12"/>
        <v>0</v>
      </c>
      <c r="AL56" s="504">
        <f t="shared" si="13"/>
      </c>
      <c r="AM56" s="504">
        <f t="shared" si="14"/>
        <v>0</v>
      </c>
      <c r="AN56" s="504">
        <f t="shared" si="15"/>
      </c>
      <c r="AO56" s="505">
        <f t="shared" si="16"/>
      </c>
      <c r="AP56" s="504">
        <f t="shared" si="25"/>
      </c>
      <c r="AQ56" s="505">
        <f t="shared" si="17"/>
      </c>
      <c r="AR56" s="504">
        <f t="shared" si="18"/>
        <v>0</v>
      </c>
      <c r="AS56" s="504">
        <f t="shared" si="19"/>
        <v>0</v>
      </c>
      <c r="AT56" s="504">
        <f t="shared" si="26"/>
        <v>0</v>
      </c>
      <c r="AU56" s="506">
        <f t="shared" si="20"/>
      </c>
      <c r="AV56" s="120"/>
      <c r="AW56" s="500" t="str">
        <f t="shared" si="27"/>
        <v> / </v>
      </c>
      <c r="AX56" s="120"/>
      <c r="AY56" s="120"/>
      <c r="AZ56" s="120"/>
      <c r="BA56" s="120"/>
    </row>
    <row r="57" spans="1:30" s="453" customFormat="1" ht="14.25" customHeight="1">
      <c r="A57" s="447"/>
      <c r="B57" s="448"/>
      <c r="C57" s="448"/>
      <c r="D57" s="448"/>
      <c r="E57" s="449"/>
      <c r="F57" s="450"/>
      <c r="G57" s="451"/>
      <c r="H57" s="452"/>
      <c r="I57" s="450"/>
      <c r="J57" s="450"/>
      <c r="K57" s="450"/>
      <c r="L57" s="450"/>
      <c r="M57" s="450"/>
      <c r="N57" s="450"/>
      <c r="O57" s="450"/>
      <c r="P57" s="450"/>
      <c r="Q57" s="450"/>
      <c r="R57" s="450"/>
      <c r="S57" s="450"/>
      <c r="T57" s="452"/>
      <c r="U57" s="451"/>
      <c r="V57" s="452"/>
      <c r="W57" s="450"/>
      <c r="AD57" s="450"/>
    </row>
    <row r="58" spans="1:30" s="453" customFormat="1" ht="14.25" customHeight="1">
      <c r="A58" s="447"/>
      <c r="B58" s="448"/>
      <c r="C58" s="448"/>
      <c r="D58" s="448"/>
      <c r="E58" s="449"/>
      <c r="F58" s="450"/>
      <c r="G58" s="451"/>
      <c r="H58" s="452"/>
      <c r="I58" s="450"/>
      <c r="J58" s="450"/>
      <c r="K58" s="450"/>
      <c r="L58" s="450"/>
      <c r="M58" s="450"/>
      <c r="N58" s="450"/>
      <c r="O58" s="450"/>
      <c r="P58" s="450"/>
      <c r="Q58" s="450"/>
      <c r="R58" s="450"/>
      <c r="S58" s="450"/>
      <c r="T58" s="452"/>
      <c r="U58" s="451"/>
      <c r="V58" s="452"/>
      <c r="W58" s="450"/>
      <c r="AD58" s="450"/>
    </row>
    <row r="59" spans="1:30" s="453" customFormat="1" ht="14.25" customHeight="1">
      <c r="A59" s="447"/>
      <c r="B59" s="448"/>
      <c r="C59" s="448"/>
      <c r="D59" s="448"/>
      <c r="E59" s="449"/>
      <c r="F59" s="450"/>
      <c r="G59" s="451"/>
      <c r="H59" s="452"/>
      <c r="I59" s="450"/>
      <c r="J59" s="450"/>
      <c r="K59" s="450"/>
      <c r="L59" s="450"/>
      <c r="M59" s="450"/>
      <c r="N59" s="450"/>
      <c r="O59" s="450"/>
      <c r="P59" s="450"/>
      <c r="Q59" s="450"/>
      <c r="R59" s="450"/>
      <c r="S59" s="450"/>
      <c r="T59" s="452"/>
      <c r="U59" s="451"/>
      <c r="V59" s="452"/>
      <c r="W59" s="450"/>
      <c r="AD59" s="450"/>
    </row>
    <row r="60" spans="1:30" s="453" customFormat="1" ht="14.25" customHeight="1">
      <c r="A60" s="447"/>
      <c r="B60" s="448"/>
      <c r="C60" s="448"/>
      <c r="D60" s="448"/>
      <c r="E60" s="449"/>
      <c r="F60" s="450"/>
      <c r="G60" s="451"/>
      <c r="H60" s="452"/>
      <c r="I60" s="450"/>
      <c r="J60" s="450"/>
      <c r="K60" s="450"/>
      <c r="L60" s="450"/>
      <c r="M60" s="450"/>
      <c r="N60" s="450"/>
      <c r="O60" s="450"/>
      <c r="P60" s="450"/>
      <c r="Q60" s="450"/>
      <c r="R60" s="450"/>
      <c r="S60" s="450"/>
      <c r="T60" s="452"/>
      <c r="U60" s="451"/>
      <c r="V60" s="452"/>
      <c r="W60" s="450"/>
      <c r="AD60" s="450"/>
    </row>
    <row r="61" spans="1:30" s="453" customFormat="1" ht="14.25" customHeight="1">
      <c r="A61" s="447"/>
      <c r="B61" s="448"/>
      <c r="C61" s="448"/>
      <c r="D61" s="448"/>
      <c r="E61" s="449"/>
      <c r="F61" s="450"/>
      <c r="G61" s="451"/>
      <c r="H61" s="452"/>
      <c r="I61" s="450"/>
      <c r="J61" s="450"/>
      <c r="K61" s="450"/>
      <c r="L61" s="450"/>
      <c r="M61" s="450"/>
      <c r="N61" s="450"/>
      <c r="O61" s="450"/>
      <c r="P61" s="450"/>
      <c r="Q61" s="450"/>
      <c r="R61" s="450"/>
      <c r="S61" s="450"/>
      <c r="T61" s="452"/>
      <c r="U61" s="451"/>
      <c r="V61" s="452"/>
      <c r="W61" s="450"/>
      <c r="AD61" s="450"/>
    </row>
    <row r="62" spans="1:30" s="453" customFormat="1" ht="14.25" customHeight="1">
      <c r="A62" s="447"/>
      <c r="B62" s="448"/>
      <c r="C62" s="448"/>
      <c r="D62" s="448"/>
      <c r="E62" s="449"/>
      <c r="F62" s="450"/>
      <c r="G62" s="451"/>
      <c r="H62" s="452"/>
      <c r="I62" s="450"/>
      <c r="J62" s="450"/>
      <c r="K62" s="450"/>
      <c r="L62" s="450"/>
      <c r="M62" s="450"/>
      <c r="N62" s="450"/>
      <c r="O62" s="450"/>
      <c r="P62" s="450"/>
      <c r="Q62" s="450"/>
      <c r="R62" s="450"/>
      <c r="S62" s="450"/>
      <c r="T62" s="452"/>
      <c r="U62" s="451"/>
      <c r="V62" s="452"/>
      <c r="W62" s="450"/>
      <c r="AD62" s="450"/>
    </row>
    <row r="63" spans="1:30" s="453" customFormat="1" ht="14.25" customHeight="1">
      <c r="A63" s="447"/>
      <c r="B63" s="448"/>
      <c r="C63" s="448"/>
      <c r="D63" s="448"/>
      <c r="E63" s="449"/>
      <c r="F63" s="450"/>
      <c r="G63" s="451"/>
      <c r="H63" s="452"/>
      <c r="I63" s="450"/>
      <c r="J63" s="450"/>
      <c r="K63" s="450"/>
      <c r="L63" s="450"/>
      <c r="M63" s="450"/>
      <c r="N63" s="450"/>
      <c r="O63" s="450"/>
      <c r="P63" s="450"/>
      <c r="Q63" s="450"/>
      <c r="R63" s="450"/>
      <c r="S63" s="450"/>
      <c r="T63" s="452"/>
      <c r="U63" s="451"/>
      <c r="V63" s="452"/>
      <c r="W63" s="450"/>
      <c r="AD63" s="450"/>
    </row>
    <row r="64" spans="1:30" s="453" customFormat="1" ht="14.25" customHeight="1">
      <c r="A64" s="447"/>
      <c r="B64" s="448"/>
      <c r="C64" s="448"/>
      <c r="D64" s="448"/>
      <c r="E64" s="449"/>
      <c r="F64" s="450"/>
      <c r="G64" s="451"/>
      <c r="H64" s="452"/>
      <c r="I64" s="450"/>
      <c r="J64" s="450"/>
      <c r="K64" s="450"/>
      <c r="L64" s="450"/>
      <c r="M64" s="450"/>
      <c r="N64" s="450"/>
      <c r="O64" s="450"/>
      <c r="P64" s="450"/>
      <c r="Q64" s="450"/>
      <c r="R64" s="450"/>
      <c r="S64" s="450"/>
      <c r="T64" s="452"/>
      <c r="U64" s="451"/>
      <c r="V64" s="452"/>
      <c r="W64" s="450"/>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4:5" ht="12.75" customHeight="1">
      <c r="D91" s="455"/>
      <c r="E91" s="456"/>
    </row>
    <row r="92" spans="4:5" ht="12.75" customHeight="1">
      <c r="D92" s="455"/>
      <c r="E92" s="456"/>
    </row>
    <row r="93" spans="4:5" ht="12.75" customHeight="1">
      <c r="D93" s="455"/>
      <c r="E93" s="456"/>
    </row>
    <row r="94" spans="4:5" ht="12.75" customHeight="1">
      <c r="D94" s="455"/>
      <c r="E94" s="456"/>
    </row>
    <row r="95" spans="4:5" ht="12.75" customHeight="1">
      <c r="D95" s="455"/>
      <c r="E95" s="456"/>
    </row>
    <row r="96" spans="4:5" ht="12.75" customHeight="1">
      <c r="D96" s="455"/>
      <c r="E96" s="456"/>
    </row>
    <row r="97" spans="4:5" ht="12.75" customHeight="1">
      <c r="D97" s="455"/>
      <c r="E97" s="456"/>
    </row>
    <row r="98" spans="4:5" ht="12.75" customHeight="1">
      <c r="D98" s="455"/>
      <c r="E98" s="456"/>
    </row>
    <row r="99" spans="4:5" ht="12.75" customHeight="1">
      <c r="D99" s="455"/>
      <c r="E99" s="456"/>
    </row>
    <row r="100" spans="1:21" s="520" customFormat="1" ht="54" customHeight="1">
      <c r="A100" s="674" t="s">
        <v>164</v>
      </c>
      <c r="B100" s="674"/>
      <c r="C100" s="674"/>
      <c r="D100" s="674"/>
      <c r="E100" s="457">
        <f>32-COUNTIF(E12:E43,"")</f>
        <v>0</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0</v>
      </c>
    </row>
    <row r="101" spans="4:5" ht="12.75" customHeight="1">
      <c r="D101" s="455"/>
      <c r="E101" s="456"/>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row r="65489" spans="20:26" ht="12.75" customHeight="1">
      <c r="T65489" s="440"/>
      <c r="U65489" s="439"/>
      <c r="X65489" s="450"/>
      <c r="Y65489" s="450"/>
      <c r="Z65489" s="450"/>
    </row>
    <row r="65490" spans="20:26" ht="12.75" customHeight="1">
      <c r="T65490" s="440"/>
      <c r="U65490" s="439"/>
      <c r="X65490" s="450"/>
      <c r="Y65490" s="450"/>
      <c r="Z65490" s="450"/>
    </row>
    <row r="65491" spans="20:26" ht="12.75" customHeight="1">
      <c r="T65491" s="440"/>
      <c r="U65491" s="439"/>
      <c r="X65491" s="450"/>
      <c r="Y65491" s="450"/>
      <c r="Z65491" s="450"/>
    </row>
    <row r="65492" spans="20:26" ht="12.75" customHeight="1">
      <c r="T65492" s="440"/>
      <c r="U65492" s="439"/>
      <c r="X65492" s="450"/>
      <c r="Y65492" s="450"/>
      <c r="Z65492" s="450"/>
    </row>
    <row r="65493" spans="20:26" ht="12.75" customHeight="1">
      <c r="T65493" s="440"/>
      <c r="U65493" s="439"/>
      <c r="X65493" s="450"/>
      <c r="Y65493" s="450"/>
      <c r="Z65493" s="450"/>
    </row>
    <row r="65494" spans="20:26" ht="12.75" customHeight="1">
      <c r="T65494" s="440"/>
      <c r="U65494" s="439"/>
      <c r="X65494" s="450"/>
      <c r="Y65494" s="450"/>
      <c r="Z65494" s="450"/>
    </row>
    <row r="65495" spans="20:26" ht="12.75" customHeight="1">
      <c r="T65495" s="440"/>
      <c r="U65495" s="439"/>
      <c r="X65495" s="450"/>
      <c r="Y65495" s="450"/>
      <c r="Z65495" s="450"/>
    </row>
    <row r="65496" spans="20:26" ht="12.75" customHeight="1">
      <c r="T65496" s="440"/>
      <c r="U65496" s="439"/>
      <c r="X65496" s="450"/>
      <c r="Y65496" s="450"/>
      <c r="Z65496" s="450"/>
    </row>
    <row r="65497" spans="20:26" ht="12.75" customHeight="1">
      <c r="T65497" s="440"/>
      <c r="U65497" s="439"/>
      <c r="X65497" s="450"/>
      <c r="Y65497" s="450"/>
      <c r="Z65497" s="450"/>
    </row>
    <row r="65498" spans="20:26" ht="12.75" customHeight="1">
      <c r="T65498" s="440"/>
      <c r="U65498" s="439"/>
      <c r="X65498" s="450"/>
      <c r="Y65498" s="450"/>
      <c r="Z65498" s="450"/>
    </row>
    <row r="65499" spans="20:26" ht="12.75" customHeight="1">
      <c r="T65499" s="440"/>
      <c r="U65499" s="439"/>
      <c r="X65499" s="450"/>
      <c r="Y65499" s="450"/>
      <c r="Z65499" s="450"/>
    </row>
    <row r="65500" spans="20:26" ht="12.75" customHeight="1">
      <c r="T65500" s="440"/>
      <c r="U65500" s="439"/>
      <c r="X65500" s="450"/>
      <c r="Y65500" s="450"/>
      <c r="Z65500" s="450"/>
    </row>
    <row r="65501" spans="20:26" ht="12.75" customHeight="1">
      <c r="T65501" s="440"/>
      <c r="U65501" s="439"/>
      <c r="X65501" s="450"/>
      <c r="Y65501" s="450"/>
      <c r="Z65501" s="450"/>
    </row>
    <row r="65502" spans="20:26" ht="12.75" customHeight="1">
      <c r="T65502" s="440"/>
      <c r="U65502" s="439"/>
      <c r="X65502" s="450"/>
      <c r="Y65502" s="450"/>
      <c r="Z65502" s="450"/>
    </row>
    <row r="65503" spans="20:26" ht="12.75" customHeight="1">
      <c r="T65503" s="440"/>
      <c r="U65503" s="439"/>
      <c r="X65503" s="450"/>
      <c r="Y65503" s="450"/>
      <c r="Z65503" s="450"/>
    </row>
    <row r="65504" spans="20:26" ht="12.75" customHeight="1">
      <c r="T65504" s="440"/>
      <c r="U65504" s="439"/>
      <c r="X65504" s="450"/>
      <c r="Y65504" s="450"/>
      <c r="Z65504" s="450"/>
    </row>
    <row r="65505" spans="20:26" ht="12.75" customHeight="1">
      <c r="T65505" s="440"/>
      <c r="U65505" s="439"/>
      <c r="X65505" s="450"/>
      <c r="Y65505" s="450"/>
      <c r="Z65505" s="450"/>
    </row>
    <row r="65506" spans="20:26" ht="12.75" customHeight="1">
      <c r="T65506" s="440"/>
      <c r="U65506" s="439"/>
      <c r="X65506" s="450"/>
      <c r="Y65506" s="450"/>
      <c r="Z65506" s="450"/>
    </row>
    <row r="65507" spans="20:26" ht="12.75" customHeight="1">
      <c r="T65507" s="440"/>
      <c r="U65507" s="439"/>
      <c r="X65507" s="450"/>
      <c r="Y65507" s="450"/>
      <c r="Z65507" s="450"/>
    </row>
    <row r="65508" spans="20:26" ht="12.75" customHeight="1">
      <c r="T65508" s="440"/>
      <c r="U65508" s="439"/>
      <c r="X65508" s="450"/>
      <c r="Y65508" s="450"/>
      <c r="Z65508" s="450"/>
    </row>
    <row r="65509" spans="20:26" ht="12.75" customHeight="1">
      <c r="T65509" s="440"/>
      <c r="U65509" s="439"/>
      <c r="X65509" s="450"/>
      <c r="Y65509" s="450"/>
      <c r="Z65509" s="450"/>
    </row>
    <row r="65510" spans="20:26" ht="12.75" customHeight="1">
      <c r="T65510" s="440"/>
      <c r="U65510" s="439"/>
      <c r="X65510" s="450"/>
      <c r="Y65510" s="450"/>
      <c r="Z65510" s="450"/>
    </row>
    <row r="65511" spans="20:26" ht="12.75" customHeight="1">
      <c r="T65511" s="440"/>
      <c r="U65511" s="439"/>
      <c r="X65511" s="450"/>
      <c r="Y65511" s="450"/>
      <c r="Z65511" s="450"/>
    </row>
    <row r="65512" spans="20:26" ht="12.75" customHeight="1">
      <c r="T65512" s="440"/>
      <c r="U65512" s="439"/>
      <c r="X65512" s="450"/>
      <c r="Y65512" s="450"/>
      <c r="Z65512" s="450"/>
    </row>
    <row r="65513" spans="20:26" ht="12.75" customHeight="1">
      <c r="T65513" s="440"/>
      <c r="U65513" s="439"/>
      <c r="X65513" s="450"/>
      <c r="Y65513" s="450"/>
      <c r="Z65513" s="450"/>
    </row>
    <row r="65514" spans="20:26" ht="12.75" customHeight="1">
      <c r="T65514" s="440"/>
      <c r="U65514" s="439"/>
      <c r="X65514" s="450"/>
      <c r="Y65514" s="450"/>
      <c r="Z65514" s="450"/>
    </row>
    <row r="65515" spans="20:26" ht="12.75" customHeight="1">
      <c r="T65515" s="440"/>
      <c r="U65515" s="439"/>
      <c r="X65515" s="450"/>
      <c r="Y65515" s="450"/>
      <c r="Z65515" s="450"/>
    </row>
    <row r="65516" spans="20:26" ht="12.75" customHeight="1">
      <c r="T65516" s="440"/>
      <c r="U65516" s="439"/>
      <c r="X65516" s="450"/>
      <c r="Y65516" s="450"/>
      <c r="Z65516" s="450"/>
    </row>
    <row r="65517" spans="20:26" ht="12.75" customHeight="1">
      <c r="T65517" s="440"/>
      <c r="U65517" s="439"/>
      <c r="X65517" s="450"/>
      <c r="Y65517" s="450"/>
      <c r="Z65517" s="450"/>
    </row>
    <row r="65518" spans="20:26" ht="12.75" customHeight="1">
      <c r="T65518" s="440"/>
      <c r="U65518" s="439"/>
      <c r="X65518" s="450"/>
      <c r="Y65518" s="450"/>
      <c r="Z65518" s="450"/>
    </row>
    <row r="65519" spans="20:26" ht="12.75" customHeight="1">
      <c r="T65519" s="440"/>
      <c r="U65519" s="439"/>
      <c r="X65519" s="450"/>
      <c r="Y65519" s="450"/>
      <c r="Z65519" s="450"/>
    </row>
  </sheetData>
  <sheetProtection sheet="1" objects="1" scenarios="1" selectLockedCells="1"/>
  <mergeCells count="14">
    <mergeCell ref="A100:D100"/>
    <mergeCell ref="A5:D5"/>
    <mergeCell ref="A6:D6"/>
    <mergeCell ref="A7:D7"/>
    <mergeCell ref="A8:D8"/>
    <mergeCell ref="A9:U9"/>
    <mergeCell ref="A10:U10"/>
    <mergeCell ref="W10:AH10"/>
    <mergeCell ref="AJ10:AU10"/>
    <mergeCell ref="AX10:BA10"/>
    <mergeCell ref="A1:D1"/>
    <mergeCell ref="A2:D2"/>
    <mergeCell ref="A3:D3"/>
    <mergeCell ref="A4:D4"/>
  </mergeCells>
  <conditionalFormatting sqref="B12:B56 E12:I56 A12:A50 L12:P56 S12:U56">
    <cfRule type="expression" priority="1" dxfId="187" stopIfTrue="1">
      <formula>OR($U12="х",$U12="x")</formula>
    </cfRule>
    <cfRule type="expression" priority="2" dxfId="192" stopIfTrue="1">
      <formula>$U12="ОЭ"</formula>
    </cfRule>
  </conditionalFormatting>
  <conditionalFormatting sqref="AJ12:AT56 W12:AG56">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Лист15">
    <pageSetUpPr fitToPage="1"/>
  </sheetPr>
  <dimension ref="A1:DA53"/>
  <sheetViews>
    <sheetView showGridLines="0" showRowColHeaders="0" showZeros="0" zoomScale="85" zoomScaleNormal="85"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2.75"/>
  <cols>
    <col min="1" max="1" width="4.00390625" style="118" customWidth="1"/>
    <col min="2" max="2" width="8.875" style="121" bestFit="1" customWidth="1"/>
    <col min="3" max="3" width="33.875" style="118" customWidth="1"/>
    <col min="4" max="5" width="7.875" style="118" customWidth="1"/>
    <col min="6" max="6" width="9.125" style="121" customWidth="1"/>
    <col min="7" max="7" width="8.875" style="121" customWidth="1"/>
    <col min="8" max="8" width="33.75390625" style="118" customWidth="1"/>
    <col min="9" max="10" width="7.875" style="118" customWidth="1"/>
    <col min="11" max="11" width="9.125" style="121" customWidth="1"/>
    <col min="12" max="12" width="17.00390625" style="470" customWidth="1"/>
    <col min="13" max="13" width="10.625" style="246" customWidth="1"/>
    <col min="14" max="14" width="3.00390625" style="632" hidden="1" customWidth="1"/>
    <col min="15" max="15" width="3.00390625" style="121" hidden="1" customWidth="1"/>
    <col min="16" max="16" width="6.625" style="472" hidden="1" customWidth="1"/>
    <col min="17" max="17" width="3.00390625" style="118" hidden="1" customWidth="1"/>
    <col min="18" max="18" width="10.125" style="118" hidden="1" customWidth="1"/>
    <col min="19" max="19" width="3.125" style="118" hidden="1" customWidth="1"/>
    <col min="20" max="20" width="6.375" style="118" hidden="1" customWidth="1"/>
    <col min="21" max="21" width="3.125" style="118" hidden="1" customWidth="1"/>
    <col min="22" max="22" width="14.125" style="126" hidden="1" customWidth="1"/>
    <col min="23" max="23" width="4.875" style="118" hidden="1" customWidth="1"/>
    <col min="24" max="24" width="11.375" style="126" hidden="1" customWidth="1"/>
    <col min="25" max="27" width="6.375" style="118" hidden="1" customWidth="1"/>
    <col min="28" max="28" width="20.00390625" style="126" hidden="1" customWidth="1"/>
    <col min="29" max="29" width="2.75390625" style="118" hidden="1" customWidth="1"/>
    <col min="30" max="30" width="3.00390625" style="118" hidden="1" customWidth="1"/>
    <col min="31" max="31" width="10.125" style="118" hidden="1" customWidth="1"/>
    <col min="32" max="32" width="3.125" style="118" hidden="1" customWidth="1"/>
    <col min="33" max="33" width="6.375" style="118" hidden="1" customWidth="1"/>
    <col min="34" max="34" width="3.125" style="118" hidden="1" customWidth="1"/>
    <col min="35" max="35" width="14.125" style="126" hidden="1" customWidth="1"/>
    <col min="36" max="36" width="4.875" style="118" hidden="1" customWidth="1"/>
    <col min="37" max="37" width="11.375" style="126" hidden="1" customWidth="1"/>
    <col min="38" max="38" width="20.00390625" style="126" hidden="1" customWidth="1"/>
    <col min="39" max="39" width="2.875" style="118" hidden="1" customWidth="1"/>
    <col min="40" max="42" width="6.375" style="118" hidden="1" customWidth="1"/>
    <col min="43" max="43" width="30.625" style="118" hidden="1" customWidth="1"/>
    <col min="44" max="46" width="9.125" style="118" hidden="1" customWidth="1"/>
    <col min="47" max="47" width="10.875" style="118" hidden="1" customWidth="1"/>
    <col min="48" max="55" width="9.125" style="118" customWidth="1"/>
    <col min="56" max="56" width="0" style="118" hidden="1" customWidth="1"/>
    <col min="57" max="16384" width="9.125" style="118" customWidth="1"/>
  </cols>
  <sheetData>
    <row r="1" spans="1:42" ht="12.75">
      <c r="A1" s="709" t="s">
        <v>166</v>
      </c>
      <c r="B1" s="709"/>
      <c r="C1" s="709"/>
      <c r="D1" s="709"/>
      <c r="E1" s="709"/>
      <c r="F1" s="709"/>
      <c r="G1" s="709"/>
      <c r="H1" s="709"/>
      <c r="I1" s="709"/>
      <c r="J1" s="709"/>
      <c r="K1" s="709"/>
      <c r="L1" s="709"/>
      <c r="M1" s="709"/>
      <c r="Q1" s="237"/>
      <c r="R1" s="237"/>
      <c r="S1" s="237"/>
      <c r="T1" s="237"/>
      <c r="U1" s="237"/>
      <c r="V1" s="242"/>
      <c r="W1" s="237"/>
      <c r="X1" s="242"/>
      <c r="Y1" s="237"/>
      <c r="Z1" s="237"/>
      <c r="AA1" s="237"/>
      <c r="AB1" s="242"/>
      <c r="AD1" s="237"/>
      <c r="AE1" s="237"/>
      <c r="AF1" s="237"/>
      <c r="AG1" s="237"/>
      <c r="AH1" s="237"/>
      <c r="AI1" s="242"/>
      <c r="AJ1" s="237"/>
      <c r="AK1" s="242"/>
      <c r="AL1" s="242"/>
      <c r="AN1" s="237"/>
      <c r="AO1" s="237"/>
      <c r="AP1" s="237"/>
    </row>
    <row r="2" spans="1:42" ht="15.75" customHeight="1">
      <c r="A2" s="721" t="str">
        <f>IF(Установка!C3="","",UPPER(Установка!C3))</f>
        <v>ПЕРВЕНСТВО ЧЕЛЯБИНСКОЙ ОБЛАСТИ</v>
      </c>
      <c r="B2" s="721"/>
      <c r="C2" s="721"/>
      <c r="D2" s="721"/>
      <c r="E2" s="721"/>
      <c r="F2" s="721"/>
      <c r="G2" s="721"/>
      <c r="H2" s="721"/>
      <c r="I2" s="721"/>
      <c r="J2" s="721"/>
      <c r="K2" s="721"/>
      <c r="L2" s="721"/>
      <c r="M2" s="721"/>
      <c r="P2" s="623"/>
      <c r="Q2" s="237"/>
      <c r="R2" s="237"/>
      <c r="S2" s="237"/>
      <c r="T2" s="237"/>
      <c r="U2" s="237"/>
      <c r="V2" s="242"/>
      <c r="W2" s="237"/>
      <c r="X2" s="242"/>
      <c r="Y2" s="237"/>
      <c r="Z2" s="237"/>
      <c r="AA2" s="237"/>
      <c r="AB2" s="242"/>
      <c r="AD2" s="237"/>
      <c r="AE2" s="237"/>
      <c r="AF2" s="237"/>
      <c r="AG2" s="237"/>
      <c r="AH2" s="237"/>
      <c r="AI2" s="242"/>
      <c r="AJ2" s="237"/>
      <c r="AK2" s="242"/>
      <c r="AL2" s="242"/>
      <c r="AN2" s="237"/>
      <c r="AO2" s="237"/>
      <c r="AP2" s="237"/>
    </row>
    <row r="3" spans="1:42" ht="15.75">
      <c r="A3" s="463"/>
      <c r="B3" s="463"/>
      <c r="C3" s="463"/>
      <c r="D3" s="463"/>
      <c r="E3" s="463"/>
      <c r="F3" s="463"/>
      <c r="G3" s="463"/>
      <c r="H3" s="463"/>
      <c r="I3" s="463"/>
      <c r="J3" s="463"/>
      <c r="K3" s="463"/>
      <c r="L3" s="468"/>
      <c r="M3" s="545"/>
      <c r="P3" s="623"/>
      <c r="Q3" s="238"/>
      <c r="R3" s="238"/>
      <c r="S3" s="238"/>
      <c r="T3" s="238"/>
      <c r="U3" s="238"/>
      <c r="V3" s="243"/>
      <c r="W3" s="238"/>
      <c r="X3" s="243"/>
      <c r="Y3" s="238"/>
      <c r="Z3" s="238"/>
      <c r="AA3" s="238"/>
      <c r="AB3" s="243"/>
      <c r="AD3" s="238"/>
      <c r="AE3" s="238"/>
      <c r="AF3" s="238"/>
      <c r="AG3" s="238"/>
      <c r="AH3" s="238"/>
      <c r="AI3" s="243"/>
      <c r="AJ3" s="238"/>
      <c r="AK3" s="243"/>
      <c r="AL3" s="243"/>
      <c r="AN3" s="238"/>
      <c r="AO3" s="238"/>
      <c r="AP3" s="238"/>
    </row>
    <row r="4" spans="1:47" s="281" customFormat="1" ht="43.5" customHeight="1" thickBot="1">
      <c r="A4" s="278"/>
      <c r="B4" s="464"/>
      <c r="C4" s="279"/>
      <c r="D4" s="279"/>
      <c r="F4" s="465" t="str">
        <f>IF(Установка!$C$5="","Ю/Д/М/Ж/СМ",UPPER(Установка!$C$5))</f>
        <v>ДЕВУШКИ</v>
      </c>
      <c r="G4" s="464" t="str">
        <f>IF(Установка!$C$4="","",UPPER(Установка!$C$4))</f>
        <v>ДО 13 ЛЕТ</v>
      </c>
      <c r="H4" s="465"/>
      <c r="I4" s="279"/>
      <c r="J4" s="465"/>
      <c r="K4" s="465"/>
      <c r="L4" s="280"/>
      <c r="M4" s="551"/>
      <c r="N4" s="633"/>
      <c r="O4" s="282"/>
      <c r="P4" s="472"/>
      <c r="Q4" s="720" t="s">
        <v>37</v>
      </c>
      <c r="R4" s="720"/>
      <c r="S4" s="720"/>
      <c r="T4" s="720"/>
      <c r="U4" s="720"/>
      <c r="V4" s="720"/>
      <c r="W4" s="720"/>
      <c r="X4" s="720"/>
      <c r="Y4" s="720"/>
      <c r="Z4" s="720"/>
      <c r="AA4" s="720"/>
      <c r="AB4" s="720"/>
      <c r="AC4" s="285"/>
      <c r="AD4" s="622" t="s">
        <v>38</v>
      </c>
      <c r="AE4" s="622"/>
      <c r="AF4" s="622"/>
      <c r="AG4" s="622"/>
      <c r="AH4" s="622"/>
      <c r="AI4" s="622"/>
      <c r="AJ4" s="622"/>
      <c r="AK4" s="622"/>
      <c r="AL4" s="622"/>
      <c r="AN4" s="622"/>
      <c r="AO4" s="622"/>
      <c r="AP4" s="622"/>
      <c r="AR4" s="719" t="s">
        <v>98</v>
      </c>
      <c r="AS4" s="719"/>
      <c r="AT4" s="719"/>
      <c r="AU4" s="719"/>
    </row>
    <row r="5" spans="1:47" s="119" customFormat="1" ht="78">
      <c r="A5" s="550" t="s">
        <v>13</v>
      </c>
      <c r="B5" s="549" t="s">
        <v>165</v>
      </c>
      <c r="C5" s="550" t="s">
        <v>24</v>
      </c>
      <c r="D5" s="550" t="s">
        <v>41</v>
      </c>
      <c r="E5" s="550" t="s">
        <v>135</v>
      </c>
      <c r="F5" s="550" t="s">
        <v>21</v>
      </c>
      <c r="G5" s="549" t="s">
        <v>165</v>
      </c>
      <c r="H5" s="550" t="s">
        <v>24</v>
      </c>
      <c r="I5" s="550" t="s">
        <v>41</v>
      </c>
      <c r="J5" s="550" t="s">
        <v>135</v>
      </c>
      <c r="K5" s="550" t="s">
        <v>21</v>
      </c>
      <c r="L5" s="579" t="s">
        <v>156</v>
      </c>
      <c r="M5" s="550" t="s">
        <v>171</v>
      </c>
      <c r="N5" s="634" t="s">
        <v>158</v>
      </c>
      <c r="O5" s="284"/>
      <c r="P5" s="473" t="s">
        <v>157</v>
      </c>
      <c r="Q5" s="239" t="s">
        <v>25</v>
      </c>
      <c r="R5" s="239" t="s">
        <v>26</v>
      </c>
      <c r="S5" s="239" t="s">
        <v>29</v>
      </c>
      <c r="T5" s="239" t="s">
        <v>27</v>
      </c>
      <c r="U5" s="239" t="s">
        <v>30</v>
      </c>
      <c r="V5" s="239" t="s">
        <v>10</v>
      </c>
      <c r="W5" s="239" t="s">
        <v>11</v>
      </c>
      <c r="X5" s="244" t="s">
        <v>28</v>
      </c>
      <c r="Y5" s="239" t="s">
        <v>36</v>
      </c>
      <c r="Z5" s="239" t="s">
        <v>36</v>
      </c>
      <c r="AA5" s="239" t="s">
        <v>36</v>
      </c>
      <c r="AB5" s="240" t="s">
        <v>10</v>
      </c>
      <c r="AC5" s="241"/>
      <c r="AD5" s="239" t="s">
        <v>25</v>
      </c>
      <c r="AE5" s="239" t="s">
        <v>26</v>
      </c>
      <c r="AF5" s="239" t="s">
        <v>29</v>
      </c>
      <c r="AG5" s="239" t="s">
        <v>27</v>
      </c>
      <c r="AH5" s="239" t="s">
        <v>30</v>
      </c>
      <c r="AI5" s="239" t="s">
        <v>10</v>
      </c>
      <c r="AJ5" s="239" t="s">
        <v>11</v>
      </c>
      <c r="AK5" s="244" t="s">
        <v>28</v>
      </c>
      <c r="AL5" s="240" t="s">
        <v>10</v>
      </c>
      <c r="AN5" s="239" t="s">
        <v>36</v>
      </c>
      <c r="AO5" s="239" t="s">
        <v>36</v>
      </c>
      <c r="AP5" s="239" t="s">
        <v>36</v>
      </c>
      <c r="AQ5" s="286"/>
      <c r="AR5" s="342"/>
      <c r="AS5" s="342"/>
      <c r="AT5" s="342"/>
      <c r="AU5" s="342"/>
    </row>
    <row r="6" spans="1:105" s="120" customFormat="1" ht="21" customHeight="1">
      <c r="A6" s="466">
        <v>1</v>
      </c>
      <c r="B6" s="637">
        <v>0</v>
      </c>
      <c r="C6" s="467" t="s">
        <v>193</v>
      </c>
      <c r="D6" s="477">
        <v>30693</v>
      </c>
      <c r="E6" s="548">
        <v>38140</v>
      </c>
      <c r="F6" s="467" t="s">
        <v>209</v>
      </c>
      <c r="G6" s="637">
        <v>112</v>
      </c>
      <c r="H6" s="467" t="s">
        <v>205</v>
      </c>
      <c r="I6" s="477">
        <v>29110</v>
      </c>
      <c r="J6" s="548">
        <v>38025</v>
      </c>
      <c r="K6" s="467" t="s">
        <v>209</v>
      </c>
      <c r="L6" s="546">
        <f aca="true" t="shared" si="0" ref="L6:L13">B6+G6</f>
        <v>112</v>
      </c>
      <c r="M6" s="477"/>
      <c r="N6" s="635" t="s">
        <v>210</v>
      </c>
      <c r="O6" s="336"/>
      <c r="P6" s="474" t="str">
        <f>UPPER(IF(AND(A6&lt;=$A$50,L6&lt;&gt;0,BD6),CONCATENATE(A6," ",M6),M6))</f>
        <v>1 </v>
      </c>
      <c r="Q6" s="127">
        <f aca="true" t="shared" si="1" ref="Q6:Q37">LEN(C6)</f>
        <v>27</v>
      </c>
      <c r="R6" s="127">
        <f aca="true" t="shared" si="2" ref="R6:R37">IF((Q6)=0,0,FIND(" ",C6))</f>
        <v>9</v>
      </c>
      <c r="S6" s="127" t="str">
        <f>IF(OR(ISERR(R6),Q6=0),"",CONCATENATE(UPPER(MID(C6,R6+1,1)),"."))</f>
        <v>Е.</v>
      </c>
      <c r="T6" s="127">
        <f aca="true" t="shared" si="3" ref="T6:T37">IF(LEN(C6)=0,0,FIND(" ",C6,R6+1))</f>
        <v>19</v>
      </c>
      <c r="U6" s="127" t="str">
        <f>IF(OR(Q6=0,ISERR(T6)),"",CONCATENATE(UPPER(MID(C6,T6+1,1)),"."))</f>
        <v>О.</v>
      </c>
      <c r="V6" s="245" t="str">
        <f aca="true" t="shared" si="4" ref="V6:V37">IF(C6="","",IF(ISERR(R6),UPPER(C6),UPPER(MID(C6,1,R6-1))))</f>
        <v>МАТВЕЕВА</v>
      </c>
      <c r="W6" s="127" t="str">
        <f aca="true" t="shared" si="5" ref="W6:W37">CONCATENATE(S6,U6)</f>
        <v>Е.О.</v>
      </c>
      <c r="X6" s="245" t="str">
        <f>IF(C6="","",IF(ISERR(R6),"",IF(ISERR(T6),UPPER(MID(C6,R6+1,Q6-R6)),UPPER(MID(C6,R6+1,T6-R6-1)))))</f>
        <v>ЕЛИЗАВЕТА</v>
      </c>
      <c r="Y6" s="127">
        <f aca="true" t="shared" si="6" ref="Y6:Y37">IF(C6="",0,COUNTIF($V$6:$V$37,V6))</f>
        <v>1</v>
      </c>
      <c r="Z6" s="127">
        <f aca="true" t="shared" si="7" ref="Z6:Z37">IF(C6="",0,COUNTIF($AI$6:$AI$37,V6))</f>
        <v>0</v>
      </c>
      <c r="AA6" s="127">
        <f aca="true" t="shared" si="8" ref="AA6:AA37">Y6+Z6</f>
        <v>1</v>
      </c>
      <c r="AB6" s="128" t="str">
        <f aca="true" t="shared" si="9" ref="AB6:AB37">IF(C6="","",IF(AA6&gt;1,CONCATENATE(V6," ",X6),V6))</f>
        <v>МАТВЕЕВА</v>
      </c>
      <c r="AD6" s="127">
        <f aca="true" t="shared" si="10" ref="AD6:AD37">LEN(H6)</f>
        <v>27</v>
      </c>
      <c r="AE6" s="127">
        <f aca="true" t="shared" si="11" ref="AE6:AE37">IF((AD6)=0,0,FIND(" ",H6))</f>
        <v>9</v>
      </c>
      <c r="AF6" s="127" t="str">
        <f>IF(OR(ISERR(AE6),AD6=0),"",CONCATENATE(UPPER(MID(H6,AE6+1,1)),"."))</f>
        <v>А.</v>
      </c>
      <c r="AG6" s="127">
        <f aca="true" t="shared" si="12" ref="AG6:AG37">IF(LEN(H6)=0,0,FIND(" ",H6,AE6+1))</f>
        <v>19</v>
      </c>
      <c r="AH6" s="127" t="str">
        <f>IF(OR(AD6=0,ISERR(AG6)),"",CONCATENATE(UPPER(MID(H6,AG6+1,1)),"."))</f>
        <v>О.</v>
      </c>
      <c r="AI6" s="245" t="str">
        <f aca="true" t="shared" si="13" ref="AI6:AI37">IF(H6="","",IF(ISERR(AE6),UPPER(H6),UPPER(MID(H6,1,AE6-1))))</f>
        <v>ХАБАРОВА</v>
      </c>
      <c r="AJ6" s="127" t="str">
        <f aca="true" t="shared" si="14" ref="AJ6:AJ37">CONCATENATE(AF6,AH6)</f>
        <v>А.О.</v>
      </c>
      <c r="AK6" s="245" t="str">
        <f>IF(H6="","",IF(ISERR(AE6),"",IF(ISERR(AG6),UPPER(MID(H6,AE6+1,AD6-AE6)),UPPER(MID(H6,AE6+1,AG6-AE6-1)))))</f>
        <v>АНАСТАСИЯ</v>
      </c>
      <c r="AL6" s="128" t="str">
        <f aca="true" t="shared" si="15" ref="AL6:AL37">IF(H6="","",IF(AP6&gt;1,CONCATENATE(AI6," ",AK6),AI6))</f>
        <v>ХАБАРОВА</v>
      </c>
      <c r="AN6" s="127">
        <f aca="true" t="shared" si="16" ref="AN6:AN37">IF(H6="",0,COUNTIF($V$6:$V$37,AI6))</f>
        <v>0</v>
      </c>
      <c r="AO6" s="127">
        <f aca="true" t="shared" si="17" ref="AO6:AO37">IF(H6="",0,COUNTIF($AI$6:$AI$37,AI6))</f>
        <v>1</v>
      </c>
      <c r="AP6" s="127">
        <f aca="true" t="shared" si="18" ref="AP6:AP37">AN6+AO6</f>
        <v>1</v>
      </c>
      <c r="AQ6" s="152" t="str">
        <f aca="true" t="shared" si="19" ref="AQ6:AQ37">CONCATENATE(AB6," / ",AL6)</f>
        <v>МАТВЕЕВА / ХАБАРОВА</v>
      </c>
      <c r="AR6" s="343" t="s">
        <v>99</v>
      </c>
      <c r="AS6" s="343" t="s">
        <v>100</v>
      </c>
      <c r="AT6" s="580" t="s">
        <v>167</v>
      </c>
      <c r="AU6" s="343" t="s">
        <v>101</v>
      </c>
      <c r="BD6" s="638" t="b">
        <v>1</v>
      </c>
      <c r="CU6"/>
      <c r="DA6"/>
    </row>
    <row r="7" spans="1:104" s="120" customFormat="1" ht="21" customHeight="1">
      <c r="A7" s="466">
        <v>2</v>
      </c>
      <c r="B7" s="479">
        <v>13</v>
      </c>
      <c r="C7" s="467" t="s">
        <v>196</v>
      </c>
      <c r="D7" s="477">
        <v>27705</v>
      </c>
      <c r="E7" s="548">
        <v>37737</v>
      </c>
      <c r="F7" s="467" t="s">
        <v>207</v>
      </c>
      <c r="G7" s="479">
        <v>46</v>
      </c>
      <c r="H7" s="467" t="s">
        <v>202</v>
      </c>
      <c r="I7" s="477">
        <v>28146</v>
      </c>
      <c r="J7" s="548">
        <v>37952</v>
      </c>
      <c r="K7" s="467" t="s">
        <v>207</v>
      </c>
      <c r="L7" s="547">
        <f t="shared" si="0"/>
        <v>59</v>
      </c>
      <c r="M7" s="477"/>
      <c r="N7" s="636" t="s">
        <v>210</v>
      </c>
      <c r="O7" s="336"/>
      <c r="P7" s="474" t="str">
        <f aca="true" t="shared" si="20" ref="P7:P37">UPPER(IF(AND(A7&lt;=$A$50,L7&lt;&gt;0,BD7),CONCATENATE(A7," ",M7),M7))</f>
        <v>2 </v>
      </c>
      <c r="Q7" s="127">
        <f t="shared" si="1"/>
        <v>21</v>
      </c>
      <c r="R7" s="127">
        <f t="shared" si="2"/>
        <v>9</v>
      </c>
      <c r="S7" s="127" t="str">
        <f aca="true" t="shared" si="21" ref="S7:S37">IF(OR(ISERR(R7),Q7=0),"",CONCATENATE(UPPER(MID(C7,R7+1,1)),"."))</f>
        <v>Я.</v>
      </c>
      <c r="T7" s="127">
        <f t="shared" si="3"/>
        <v>13</v>
      </c>
      <c r="U7" s="127" t="str">
        <f aca="true" t="shared" si="22" ref="U7:U37">IF(OR(Q7=0,ISERR(T7)),"",CONCATENATE(UPPER(MID(C7,T7+1,1)),"."))</f>
        <v>О.</v>
      </c>
      <c r="V7" s="245" t="str">
        <f t="shared" si="4"/>
        <v>ПАНЬКОВА</v>
      </c>
      <c r="W7" s="127" t="str">
        <f t="shared" si="5"/>
        <v>Я.О.</v>
      </c>
      <c r="X7" s="245" t="str">
        <f aca="true" t="shared" si="23" ref="X7:X37">IF(C7="","",IF(ISERR(R7),"",IF(ISERR(T7),UPPER(MID(C7,R7+1,Q7-R7)),UPPER(MID(C7,R7+1,T7-R7-1)))))</f>
        <v>ЯНА</v>
      </c>
      <c r="Y7" s="127">
        <f t="shared" si="6"/>
        <v>1</v>
      </c>
      <c r="Z7" s="127">
        <f t="shared" si="7"/>
        <v>0</v>
      </c>
      <c r="AA7" s="127">
        <f t="shared" si="8"/>
        <v>1</v>
      </c>
      <c r="AB7" s="128" t="str">
        <f t="shared" si="9"/>
        <v>ПАНЬКОВА</v>
      </c>
      <c r="AD7" s="127">
        <f t="shared" si="10"/>
        <v>27</v>
      </c>
      <c r="AE7" s="127">
        <f t="shared" si="11"/>
        <v>9</v>
      </c>
      <c r="AF7" s="127" t="str">
        <f aca="true" t="shared" si="24" ref="AF7:AF37">IF(OR(ISERR(AE7),AD7=0),"",CONCATENATE(UPPER(MID(H7,AE7+1,1)),"."))</f>
        <v>В.</v>
      </c>
      <c r="AG7" s="127">
        <f t="shared" si="12"/>
        <v>17</v>
      </c>
      <c r="AH7" s="127" t="str">
        <f aca="true" t="shared" si="25" ref="AH7:AH37">IF(OR(AD7=0,ISERR(AG7)),"",CONCATENATE(UPPER(MID(H7,AG7+1,1)),"."))</f>
        <v>А.</v>
      </c>
      <c r="AI7" s="245" t="str">
        <f t="shared" si="13"/>
        <v>ТАРАНОВА</v>
      </c>
      <c r="AJ7" s="127" t="str">
        <f t="shared" si="14"/>
        <v>В.А.</v>
      </c>
      <c r="AK7" s="245" t="str">
        <f aca="true" t="shared" si="26" ref="AK7:AK37">IF(H7="","",IF(ISERR(AE7),"",IF(ISERR(AG7),UPPER(MID(H7,AE7+1,AD7-AE7)),UPPER(MID(H7,AE7+1,AG7-AE7-1)))))</f>
        <v>ВАЛЕРИЯ</v>
      </c>
      <c r="AL7" s="128" t="str">
        <f t="shared" si="15"/>
        <v>ТАРАНОВА</v>
      </c>
      <c r="AN7" s="127">
        <f t="shared" si="16"/>
        <v>0</v>
      </c>
      <c r="AO7" s="127">
        <f t="shared" si="17"/>
        <v>1</v>
      </c>
      <c r="AP7" s="127">
        <f t="shared" si="18"/>
        <v>1</v>
      </c>
      <c r="AQ7" s="152" t="str">
        <f t="shared" si="19"/>
        <v>ПАНЬКОВА / ТАРАНОВА</v>
      </c>
      <c r="BD7" s="638" t="b">
        <v>1</v>
      </c>
      <c r="CU7"/>
      <c r="CZ7"/>
    </row>
    <row r="8" spans="1:99" s="120" customFormat="1" ht="21" customHeight="1">
      <c r="A8" s="466">
        <v>3</v>
      </c>
      <c r="B8" s="478">
        <v>12</v>
      </c>
      <c r="C8" s="467" t="s">
        <v>191</v>
      </c>
      <c r="D8" s="477">
        <v>31323</v>
      </c>
      <c r="E8" s="548">
        <v>38405</v>
      </c>
      <c r="F8" s="467" t="s">
        <v>175</v>
      </c>
      <c r="G8" s="478">
        <v>38</v>
      </c>
      <c r="H8" s="467" t="s">
        <v>199</v>
      </c>
      <c r="I8" s="477">
        <v>30039</v>
      </c>
      <c r="J8" s="548">
        <v>38036</v>
      </c>
      <c r="K8" s="467" t="s">
        <v>175</v>
      </c>
      <c r="L8" s="547">
        <f t="shared" si="0"/>
        <v>50</v>
      </c>
      <c r="M8" s="477"/>
      <c r="N8" s="636" t="s">
        <v>210</v>
      </c>
      <c r="O8" s="336"/>
      <c r="P8" s="474">
        <f t="shared" si="20"/>
      </c>
      <c r="Q8" s="127">
        <f t="shared" si="1"/>
        <v>23</v>
      </c>
      <c r="R8" s="127">
        <f t="shared" si="2"/>
        <v>8</v>
      </c>
      <c r="S8" s="127" t="str">
        <f t="shared" si="21"/>
        <v>Д.</v>
      </c>
      <c r="T8" s="127">
        <f t="shared" si="3"/>
        <v>14</v>
      </c>
      <c r="U8" s="127" t="str">
        <f t="shared" si="22"/>
        <v>А.</v>
      </c>
      <c r="V8" s="245" t="str">
        <f t="shared" si="4"/>
        <v>КОПТЕВА</v>
      </c>
      <c r="W8" s="127" t="str">
        <f t="shared" si="5"/>
        <v>Д.А.</v>
      </c>
      <c r="X8" s="245" t="str">
        <f t="shared" si="23"/>
        <v>ДАРЬЯ</v>
      </c>
      <c r="Y8" s="127">
        <f t="shared" si="6"/>
        <v>1</v>
      </c>
      <c r="Z8" s="127">
        <f t="shared" si="7"/>
        <v>0</v>
      </c>
      <c r="AA8" s="127">
        <f t="shared" si="8"/>
        <v>1</v>
      </c>
      <c r="AB8" s="128" t="str">
        <f t="shared" si="9"/>
        <v>КОПТЕВА</v>
      </c>
      <c r="AD8" s="127">
        <f t="shared" si="10"/>
        <v>26</v>
      </c>
      <c r="AE8" s="127">
        <f t="shared" si="11"/>
        <v>10</v>
      </c>
      <c r="AF8" s="127" t="str">
        <f t="shared" si="24"/>
        <v>П.</v>
      </c>
      <c r="AG8" s="127">
        <f t="shared" si="12"/>
        <v>17</v>
      </c>
      <c r="AH8" s="127" t="str">
        <f t="shared" si="25"/>
        <v>С.</v>
      </c>
      <c r="AI8" s="245" t="str">
        <f t="shared" si="13"/>
        <v>САФРОНОВА</v>
      </c>
      <c r="AJ8" s="127" t="str">
        <f t="shared" si="14"/>
        <v>П.С.</v>
      </c>
      <c r="AK8" s="245" t="str">
        <f t="shared" si="26"/>
        <v>ПОЛИНА</v>
      </c>
      <c r="AL8" s="128" t="str">
        <f t="shared" si="15"/>
        <v>САФРОНОВА</v>
      </c>
      <c r="AN8" s="127">
        <f t="shared" si="16"/>
        <v>0</v>
      </c>
      <c r="AO8" s="127">
        <f t="shared" si="17"/>
        <v>1</v>
      </c>
      <c r="AP8" s="127">
        <f t="shared" si="18"/>
        <v>1</v>
      </c>
      <c r="AQ8" s="152" t="str">
        <f t="shared" si="19"/>
        <v>КОПТЕВА / САФРОНОВА</v>
      </c>
      <c r="BD8" s="638" t="b">
        <v>1</v>
      </c>
      <c r="CU8"/>
    </row>
    <row r="9" spans="1:99" s="120" customFormat="1" ht="21" customHeight="1">
      <c r="A9" s="466">
        <v>4</v>
      </c>
      <c r="B9" s="479">
        <v>12</v>
      </c>
      <c r="C9" s="467" t="s">
        <v>186</v>
      </c>
      <c r="D9" s="477">
        <v>31454</v>
      </c>
      <c r="E9" s="548">
        <v>38155</v>
      </c>
      <c r="F9" s="467" t="s">
        <v>207</v>
      </c>
      <c r="G9" s="479">
        <v>29</v>
      </c>
      <c r="H9" s="467" t="s">
        <v>188</v>
      </c>
      <c r="I9" s="477">
        <v>29149</v>
      </c>
      <c r="J9" s="548">
        <v>38139</v>
      </c>
      <c r="K9" s="467" t="s">
        <v>207</v>
      </c>
      <c r="L9" s="547">
        <f t="shared" si="0"/>
        <v>41</v>
      </c>
      <c r="M9" s="477"/>
      <c r="N9" s="636" t="s">
        <v>210</v>
      </c>
      <c r="O9" s="336"/>
      <c r="P9" s="474">
        <f t="shared" si="20"/>
      </c>
      <c r="Q9" s="127">
        <f t="shared" si="1"/>
        <v>29</v>
      </c>
      <c r="R9" s="127">
        <f t="shared" si="2"/>
        <v>9</v>
      </c>
      <c r="S9" s="127" t="str">
        <f t="shared" si="21"/>
        <v>Е.</v>
      </c>
      <c r="T9" s="127">
        <f t="shared" si="3"/>
        <v>19</v>
      </c>
      <c r="U9" s="127" t="str">
        <f t="shared" si="22"/>
        <v>А.</v>
      </c>
      <c r="V9" s="245" t="str">
        <f t="shared" si="4"/>
        <v>ЗАБАРЧУК</v>
      </c>
      <c r="W9" s="127" t="str">
        <f t="shared" si="5"/>
        <v>Е.А.</v>
      </c>
      <c r="X9" s="245" t="str">
        <f t="shared" si="23"/>
        <v>ЕКАТЕРИНА</v>
      </c>
      <c r="Y9" s="127">
        <f t="shared" si="6"/>
        <v>1</v>
      </c>
      <c r="Z9" s="127">
        <f t="shared" si="7"/>
        <v>0</v>
      </c>
      <c r="AA9" s="127">
        <f t="shared" si="8"/>
        <v>1</v>
      </c>
      <c r="AB9" s="128" t="str">
        <f t="shared" si="9"/>
        <v>ЗАБАРЧУК</v>
      </c>
      <c r="AD9" s="127">
        <f t="shared" si="10"/>
        <v>29</v>
      </c>
      <c r="AE9" s="127">
        <f t="shared" si="11"/>
        <v>11</v>
      </c>
      <c r="AF9" s="127" t="str">
        <f t="shared" si="24"/>
        <v>В.</v>
      </c>
      <c r="AG9" s="127">
        <f t="shared" si="12"/>
        <v>19</v>
      </c>
      <c r="AH9" s="127" t="str">
        <f t="shared" si="25"/>
        <v>Д.</v>
      </c>
      <c r="AI9" s="245" t="str">
        <f t="shared" si="13"/>
        <v>ИВАНОВСКАЯ</v>
      </c>
      <c r="AJ9" s="127" t="str">
        <f t="shared" si="14"/>
        <v>В.Д.</v>
      </c>
      <c r="AK9" s="245" t="str">
        <f t="shared" si="26"/>
        <v>ВАЛЕРИЯ</v>
      </c>
      <c r="AL9" s="128" t="str">
        <f t="shared" si="15"/>
        <v>ИВАНОВСКАЯ</v>
      </c>
      <c r="AN9" s="127">
        <f t="shared" si="16"/>
        <v>0</v>
      </c>
      <c r="AO9" s="127">
        <f t="shared" si="17"/>
        <v>1</v>
      </c>
      <c r="AP9" s="127">
        <f t="shared" si="18"/>
        <v>1</v>
      </c>
      <c r="AQ9" s="152" t="str">
        <f t="shared" si="19"/>
        <v>ЗАБАРЧУК / ИВАНОВСКАЯ</v>
      </c>
      <c r="BD9" s="638" t="b">
        <v>1</v>
      </c>
      <c r="CU9"/>
    </row>
    <row r="10" spans="1:105" s="120" customFormat="1" ht="21" customHeight="1">
      <c r="A10" s="466">
        <v>5</v>
      </c>
      <c r="B10" s="479">
        <v>16</v>
      </c>
      <c r="C10" s="467" t="s">
        <v>180</v>
      </c>
      <c r="D10" s="477">
        <v>29430</v>
      </c>
      <c r="E10" s="548">
        <v>38132</v>
      </c>
      <c r="F10" s="467" t="s">
        <v>207</v>
      </c>
      <c r="G10" s="479">
        <v>3</v>
      </c>
      <c r="H10" s="467" t="s">
        <v>183</v>
      </c>
      <c r="I10" s="477">
        <v>31079</v>
      </c>
      <c r="J10" s="548">
        <v>38491</v>
      </c>
      <c r="K10" s="467" t="s">
        <v>207</v>
      </c>
      <c r="L10" s="547">
        <f t="shared" si="0"/>
        <v>19</v>
      </c>
      <c r="M10" s="477"/>
      <c r="N10" s="636" t="s">
        <v>210</v>
      </c>
      <c r="O10" s="336"/>
      <c r="P10" s="474">
        <f t="shared" si="20"/>
      </c>
      <c r="Q10" s="127">
        <f t="shared" si="1"/>
        <v>30</v>
      </c>
      <c r="R10" s="127">
        <f t="shared" si="2"/>
        <v>13</v>
      </c>
      <c r="S10" s="127" t="str">
        <f t="shared" si="21"/>
        <v>К.</v>
      </c>
      <c r="T10" s="127">
        <f t="shared" si="3"/>
        <v>20</v>
      </c>
      <c r="U10" s="127" t="str">
        <f t="shared" si="22"/>
        <v>И.</v>
      </c>
      <c r="V10" s="245" t="str">
        <f t="shared" si="4"/>
        <v>АСФАНДИЯРОВА</v>
      </c>
      <c r="W10" s="127" t="str">
        <f t="shared" si="5"/>
        <v>К.И.</v>
      </c>
      <c r="X10" s="245" t="str">
        <f t="shared" si="23"/>
        <v>КАРИНА</v>
      </c>
      <c r="Y10" s="127">
        <f t="shared" si="6"/>
        <v>1</v>
      </c>
      <c r="Z10" s="127">
        <f t="shared" si="7"/>
        <v>0</v>
      </c>
      <c r="AA10" s="127">
        <f t="shared" si="8"/>
        <v>1</v>
      </c>
      <c r="AB10" s="128" t="str">
        <f t="shared" si="9"/>
        <v>АСФАНДИЯРОВА</v>
      </c>
      <c r="AD10" s="127">
        <f t="shared" si="10"/>
        <v>28</v>
      </c>
      <c r="AE10" s="127">
        <f t="shared" si="11"/>
        <v>10</v>
      </c>
      <c r="AF10" s="127" t="str">
        <f t="shared" si="24"/>
        <v>Е.</v>
      </c>
      <c r="AG10" s="127">
        <f t="shared" si="12"/>
        <v>18</v>
      </c>
      <c r="AH10" s="127" t="str">
        <f t="shared" si="25"/>
        <v>Д.</v>
      </c>
      <c r="AI10" s="245" t="str">
        <f t="shared" si="13"/>
        <v>ГОРЯИНОВА</v>
      </c>
      <c r="AJ10" s="127" t="str">
        <f t="shared" si="14"/>
        <v>Е.Д.</v>
      </c>
      <c r="AK10" s="245" t="str">
        <f t="shared" si="26"/>
        <v>ЕВГЕНИЯ</v>
      </c>
      <c r="AL10" s="128" t="str">
        <f t="shared" si="15"/>
        <v>ГОРЯИНОВА</v>
      </c>
      <c r="AN10" s="127">
        <f t="shared" si="16"/>
        <v>0</v>
      </c>
      <c r="AO10" s="127">
        <f t="shared" si="17"/>
        <v>1</v>
      </c>
      <c r="AP10" s="127">
        <f t="shared" si="18"/>
        <v>1</v>
      </c>
      <c r="AQ10" s="152" t="str">
        <f t="shared" si="19"/>
        <v>АСФАНДИЯРОВА / ГОРЯИНОВА</v>
      </c>
      <c r="BD10" s="638" t="b">
        <v>1</v>
      </c>
      <c r="CU10"/>
      <c r="DA10"/>
    </row>
    <row r="11" spans="1:99" s="120" customFormat="1" ht="21" customHeight="1">
      <c r="A11" s="466">
        <v>6</v>
      </c>
      <c r="B11" s="478">
        <v>5</v>
      </c>
      <c r="C11" s="467" t="s">
        <v>195</v>
      </c>
      <c r="D11" s="477">
        <v>31482</v>
      </c>
      <c r="E11" s="548">
        <v>38184</v>
      </c>
      <c r="F11" s="467" t="s">
        <v>175</v>
      </c>
      <c r="G11" s="478">
        <v>0</v>
      </c>
      <c r="H11" s="467" t="s">
        <v>197</v>
      </c>
      <c r="I11" s="477">
        <v>31641</v>
      </c>
      <c r="J11" s="548">
        <v>38619</v>
      </c>
      <c r="K11" s="467" t="s">
        <v>175</v>
      </c>
      <c r="L11" s="547">
        <f t="shared" si="0"/>
        <v>5</v>
      </c>
      <c r="M11" s="477"/>
      <c r="N11" s="636" t="s">
        <v>210</v>
      </c>
      <c r="O11" s="336"/>
      <c r="P11" s="474">
        <f t="shared" si="20"/>
      </c>
      <c r="Q11" s="127">
        <f t="shared" si="1"/>
        <v>27</v>
      </c>
      <c r="R11" s="127">
        <f t="shared" si="2"/>
        <v>11</v>
      </c>
      <c r="S11" s="127" t="str">
        <f t="shared" si="21"/>
        <v>М.</v>
      </c>
      <c r="T11" s="127">
        <f t="shared" si="3"/>
        <v>17</v>
      </c>
      <c r="U11" s="127" t="str">
        <f t="shared" si="22"/>
        <v>Д.</v>
      </c>
      <c r="V11" s="245" t="str">
        <f t="shared" si="4"/>
        <v>НЕСВЕТАЕВА</v>
      </c>
      <c r="W11" s="127" t="str">
        <f t="shared" si="5"/>
        <v>М.Д.</v>
      </c>
      <c r="X11" s="245" t="str">
        <f t="shared" si="23"/>
        <v>МАРИЯ</v>
      </c>
      <c r="Y11" s="127">
        <f t="shared" si="6"/>
        <v>1</v>
      </c>
      <c r="Z11" s="127">
        <f t="shared" si="7"/>
        <v>0</v>
      </c>
      <c r="AA11" s="127">
        <f t="shared" si="8"/>
        <v>1</v>
      </c>
      <c r="AB11" s="128" t="str">
        <f t="shared" si="9"/>
        <v>НЕСВЕТАЕВА</v>
      </c>
      <c r="AD11" s="127">
        <f t="shared" si="10"/>
        <v>26</v>
      </c>
      <c r="AE11" s="127">
        <f t="shared" si="11"/>
        <v>10</v>
      </c>
      <c r="AF11" s="127" t="str">
        <f t="shared" si="24"/>
        <v>С.</v>
      </c>
      <c r="AG11" s="127">
        <f t="shared" si="12"/>
        <v>16</v>
      </c>
      <c r="AH11" s="127" t="str">
        <f t="shared" si="25"/>
        <v>А.</v>
      </c>
      <c r="AI11" s="245" t="str">
        <f t="shared" si="13"/>
        <v>ПЕРВУХИНА</v>
      </c>
      <c r="AJ11" s="127" t="str">
        <f t="shared" si="14"/>
        <v>С.А.</v>
      </c>
      <c r="AK11" s="245" t="str">
        <f t="shared" si="26"/>
        <v>СОФИЯ</v>
      </c>
      <c r="AL11" s="128" t="str">
        <f t="shared" si="15"/>
        <v>ПЕРВУХИНА</v>
      </c>
      <c r="AN11" s="127">
        <f t="shared" si="16"/>
        <v>0</v>
      </c>
      <c r="AO11" s="127">
        <f t="shared" si="17"/>
        <v>1</v>
      </c>
      <c r="AP11" s="127">
        <f t="shared" si="18"/>
        <v>1</v>
      </c>
      <c r="AQ11" s="152" t="str">
        <f t="shared" si="19"/>
        <v>НЕСВЕТАЕВА / ПЕРВУХИНА</v>
      </c>
      <c r="BD11" s="638" t="b">
        <v>1</v>
      </c>
      <c r="CU11"/>
    </row>
    <row r="12" spans="1:99" s="120" customFormat="1" ht="21" customHeight="1">
      <c r="A12" s="466">
        <v>7</v>
      </c>
      <c r="B12" s="479"/>
      <c r="C12" s="467"/>
      <c r="D12" s="477"/>
      <c r="E12" s="548"/>
      <c r="F12" s="467"/>
      <c r="G12" s="479"/>
      <c r="H12" s="467"/>
      <c r="I12" s="477"/>
      <c r="J12" s="548"/>
      <c r="K12" s="467"/>
      <c r="L12" s="547">
        <f t="shared" si="0"/>
        <v>0</v>
      </c>
      <c r="M12" s="477"/>
      <c r="N12" s="636" t="s">
        <v>210</v>
      </c>
      <c r="O12" s="336"/>
      <c r="P12" s="474">
        <f t="shared" si="20"/>
      </c>
      <c r="Q12" s="127">
        <f t="shared" si="1"/>
        <v>0</v>
      </c>
      <c r="R12" s="127">
        <f t="shared" si="2"/>
        <v>0</v>
      </c>
      <c r="S12" s="127">
        <f t="shared" si="21"/>
      </c>
      <c r="T12" s="127">
        <f t="shared" si="3"/>
        <v>0</v>
      </c>
      <c r="U12" s="127">
        <f t="shared" si="22"/>
      </c>
      <c r="V12" s="245">
        <f t="shared" si="4"/>
      </c>
      <c r="W12" s="127">
        <f t="shared" si="5"/>
      </c>
      <c r="X12" s="245">
        <f t="shared" si="23"/>
      </c>
      <c r="Y12" s="127">
        <f t="shared" si="6"/>
        <v>0</v>
      </c>
      <c r="Z12" s="127">
        <f t="shared" si="7"/>
        <v>0</v>
      </c>
      <c r="AA12" s="127">
        <f t="shared" si="8"/>
        <v>0</v>
      </c>
      <c r="AB12" s="128">
        <f t="shared" si="9"/>
      </c>
      <c r="AD12" s="127">
        <f t="shared" si="10"/>
        <v>0</v>
      </c>
      <c r="AE12" s="127">
        <f t="shared" si="11"/>
        <v>0</v>
      </c>
      <c r="AF12" s="127">
        <f t="shared" si="24"/>
      </c>
      <c r="AG12" s="127">
        <f t="shared" si="12"/>
        <v>0</v>
      </c>
      <c r="AH12" s="127">
        <f t="shared" si="25"/>
      </c>
      <c r="AI12" s="245">
        <f t="shared" si="13"/>
      </c>
      <c r="AJ12" s="127">
        <f t="shared" si="14"/>
      </c>
      <c r="AK12" s="245">
        <f t="shared" si="26"/>
      </c>
      <c r="AL12" s="128">
        <f t="shared" si="15"/>
      </c>
      <c r="AN12" s="127">
        <f t="shared" si="16"/>
        <v>0</v>
      </c>
      <c r="AO12" s="127">
        <f t="shared" si="17"/>
        <v>0</v>
      </c>
      <c r="AP12" s="127">
        <f t="shared" si="18"/>
        <v>0</v>
      </c>
      <c r="AQ12" s="152" t="str">
        <f t="shared" si="19"/>
        <v> / </v>
      </c>
      <c r="BD12" s="638" t="b">
        <v>1</v>
      </c>
      <c r="CU12"/>
    </row>
    <row r="13" spans="1:105" s="120" customFormat="1" ht="21" customHeight="1">
      <c r="A13" s="466">
        <v>8</v>
      </c>
      <c r="B13" s="479"/>
      <c r="C13" s="467"/>
      <c r="D13" s="477"/>
      <c r="E13" s="548"/>
      <c r="F13" s="467"/>
      <c r="G13" s="479"/>
      <c r="H13" s="467"/>
      <c r="I13" s="477"/>
      <c r="J13" s="548"/>
      <c r="K13" s="467"/>
      <c r="L13" s="547">
        <f t="shared" si="0"/>
        <v>0</v>
      </c>
      <c r="M13" s="477"/>
      <c r="N13" s="636" t="s">
        <v>210</v>
      </c>
      <c r="O13" s="336"/>
      <c r="P13" s="474">
        <f t="shared" si="20"/>
      </c>
      <c r="Q13" s="127">
        <f t="shared" si="1"/>
        <v>0</v>
      </c>
      <c r="R13" s="127">
        <f t="shared" si="2"/>
        <v>0</v>
      </c>
      <c r="S13" s="127">
        <f t="shared" si="21"/>
      </c>
      <c r="T13" s="127">
        <f t="shared" si="3"/>
        <v>0</v>
      </c>
      <c r="U13" s="127">
        <f t="shared" si="22"/>
      </c>
      <c r="V13" s="245">
        <f t="shared" si="4"/>
      </c>
      <c r="W13" s="127">
        <f t="shared" si="5"/>
      </c>
      <c r="X13" s="245">
        <f t="shared" si="23"/>
      </c>
      <c r="Y13" s="127">
        <f t="shared" si="6"/>
        <v>0</v>
      </c>
      <c r="Z13" s="127">
        <f t="shared" si="7"/>
        <v>0</v>
      </c>
      <c r="AA13" s="127">
        <f t="shared" si="8"/>
        <v>0</v>
      </c>
      <c r="AB13" s="128">
        <f t="shared" si="9"/>
      </c>
      <c r="AD13" s="127">
        <f t="shared" si="10"/>
        <v>0</v>
      </c>
      <c r="AE13" s="127">
        <f t="shared" si="11"/>
        <v>0</v>
      </c>
      <c r="AF13" s="127">
        <f t="shared" si="24"/>
      </c>
      <c r="AG13" s="127">
        <f t="shared" si="12"/>
        <v>0</v>
      </c>
      <c r="AH13" s="127">
        <f t="shared" si="25"/>
      </c>
      <c r="AI13" s="245">
        <f t="shared" si="13"/>
      </c>
      <c r="AJ13" s="127">
        <f t="shared" si="14"/>
      </c>
      <c r="AK13" s="245">
        <f t="shared" si="26"/>
      </c>
      <c r="AL13" s="128">
        <f t="shared" si="15"/>
      </c>
      <c r="AN13" s="127">
        <f t="shared" si="16"/>
        <v>0</v>
      </c>
      <c r="AO13" s="127">
        <f t="shared" si="17"/>
        <v>0</v>
      </c>
      <c r="AP13" s="127">
        <f t="shared" si="18"/>
        <v>0</v>
      </c>
      <c r="AQ13" s="152" t="str">
        <f t="shared" si="19"/>
        <v> / </v>
      </c>
      <c r="BD13" s="638" t="b">
        <v>1</v>
      </c>
      <c r="CU13"/>
      <c r="DA13"/>
    </row>
    <row r="14" spans="1:99" s="120" customFormat="1" ht="21" customHeight="1" hidden="1">
      <c r="A14" s="466">
        <v>9</v>
      </c>
      <c r="B14" s="479"/>
      <c r="C14" s="467"/>
      <c r="D14" s="477"/>
      <c r="E14" s="548"/>
      <c r="F14" s="467"/>
      <c r="G14" s="479"/>
      <c r="H14" s="467"/>
      <c r="I14" s="477"/>
      <c r="J14" s="548"/>
      <c r="K14" s="467"/>
      <c r="L14" s="547">
        <f aca="true" t="shared" si="27" ref="L14:L37">B14+G14</f>
        <v>0</v>
      </c>
      <c r="M14" s="477"/>
      <c r="N14" s="636"/>
      <c r="O14" s="336"/>
      <c r="P14" s="474">
        <f t="shared" si="20"/>
      </c>
      <c r="Q14" s="127">
        <f t="shared" si="1"/>
        <v>0</v>
      </c>
      <c r="R14" s="127">
        <f t="shared" si="2"/>
        <v>0</v>
      </c>
      <c r="S14" s="127">
        <f t="shared" si="21"/>
      </c>
      <c r="T14" s="127">
        <f t="shared" si="3"/>
        <v>0</v>
      </c>
      <c r="U14" s="127">
        <f t="shared" si="22"/>
      </c>
      <c r="V14" s="245">
        <f t="shared" si="4"/>
      </c>
      <c r="W14" s="127">
        <f t="shared" si="5"/>
      </c>
      <c r="X14" s="245">
        <f t="shared" si="23"/>
      </c>
      <c r="Y14" s="127">
        <f t="shared" si="6"/>
        <v>0</v>
      </c>
      <c r="Z14" s="127">
        <f t="shared" si="7"/>
        <v>0</v>
      </c>
      <c r="AA14" s="127">
        <f t="shared" si="8"/>
        <v>0</v>
      </c>
      <c r="AB14" s="128">
        <f t="shared" si="9"/>
      </c>
      <c r="AD14" s="127">
        <f t="shared" si="10"/>
        <v>0</v>
      </c>
      <c r="AE14" s="127">
        <f t="shared" si="11"/>
        <v>0</v>
      </c>
      <c r="AF14" s="127">
        <f t="shared" si="24"/>
      </c>
      <c r="AG14" s="127">
        <f t="shared" si="12"/>
        <v>0</v>
      </c>
      <c r="AH14" s="127">
        <f t="shared" si="25"/>
      </c>
      <c r="AI14" s="245">
        <f t="shared" si="13"/>
      </c>
      <c r="AJ14" s="127">
        <f t="shared" si="14"/>
      </c>
      <c r="AK14" s="245">
        <f t="shared" si="26"/>
      </c>
      <c r="AL14" s="128">
        <f t="shared" si="15"/>
      </c>
      <c r="AN14" s="127">
        <f t="shared" si="16"/>
        <v>0</v>
      </c>
      <c r="AO14" s="127">
        <f t="shared" si="17"/>
        <v>0</v>
      </c>
      <c r="AP14" s="127">
        <f t="shared" si="18"/>
        <v>0</v>
      </c>
      <c r="AQ14" s="152" t="str">
        <f t="shared" si="19"/>
        <v> / </v>
      </c>
      <c r="BD14" s="638" t="b">
        <v>1</v>
      </c>
      <c r="CU14"/>
    </row>
    <row r="15" spans="1:105" s="120" customFormat="1" ht="21" customHeight="1" hidden="1">
      <c r="A15" s="466">
        <v>10</v>
      </c>
      <c r="B15" s="479"/>
      <c r="C15" s="467"/>
      <c r="D15" s="477"/>
      <c r="E15" s="548"/>
      <c r="F15" s="467"/>
      <c r="G15" s="479"/>
      <c r="H15" s="467"/>
      <c r="I15" s="477"/>
      <c r="J15" s="548"/>
      <c r="K15" s="467"/>
      <c r="L15" s="547">
        <f t="shared" si="27"/>
        <v>0</v>
      </c>
      <c r="M15" s="477"/>
      <c r="N15" s="636"/>
      <c r="O15" s="336"/>
      <c r="P15" s="474">
        <f t="shared" si="20"/>
      </c>
      <c r="Q15" s="127">
        <f t="shared" si="1"/>
        <v>0</v>
      </c>
      <c r="R15" s="127">
        <f t="shared" si="2"/>
        <v>0</v>
      </c>
      <c r="S15" s="127">
        <f t="shared" si="21"/>
      </c>
      <c r="T15" s="127">
        <f t="shared" si="3"/>
        <v>0</v>
      </c>
      <c r="U15" s="127">
        <f t="shared" si="22"/>
      </c>
      <c r="V15" s="245">
        <f t="shared" si="4"/>
      </c>
      <c r="W15" s="127">
        <f t="shared" si="5"/>
      </c>
      <c r="X15" s="245">
        <f t="shared" si="23"/>
      </c>
      <c r="Y15" s="127">
        <f t="shared" si="6"/>
        <v>0</v>
      </c>
      <c r="Z15" s="127">
        <f t="shared" si="7"/>
        <v>0</v>
      </c>
      <c r="AA15" s="127">
        <f t="shared" si="8"/>
        <v>0</v>
      </c>
      <c r="AB15" s="128">
        <f t="shared" si="9"/>
      </c>
      <c r="AD15" s="127">
        <f t="shared" si="10"/>
        <v>0</v>
      </c>
      <c r="AE15" s="127">
        <f t="shared" si="11"/>
        <v>0</v>
      </c>
      <c r="AF15" s="127">
        <f t="shared" si="24"/>
      </c>
      <c r="AG15" s="127">
        <f t="shared" si="12"/>
        <v>0</v>
      </c>
      <c r="AH15" s="127">
        <f t="shared" si="25"/>
      </c>
      <c r="AI15" s="245">
        <f t="shared" si="13"/>
      </c>
      <c r="AJ15" s="127">
        <f t="shared" si="14"/>
      </c>
      <c r="AK15" s="245">
        <f t="shared" si="26"/>
      </c>
      <c r="AL15" s="128">
        <f t="shared" si="15"/>
      </c>
      <c r="AN15" s="127">
        <f t="shared" si="16"/>
        <v>0</v>
      </c>
      <c r="AO15" s="127">
        <f t="shared" si="17"/>
        <v>0</v>
      </c>
      <c r="AP15" s="127">
        <f t="shared" si="18"/>
        <v>0</v>
      </c>
      <c r="AQ15" s="152" t="str">
        <f t="shared" si="19"/>
        <v> / </v>
      </c>
      <c r="BD15" s="638" t="b">
        <v>1</v>
      </c>
      <c r="CU15"/>
      <c r="DA15"/>
    </row>
    <row r="16" spans="1:105" s="120" customFormat="1" ht="21" customHeight="1" hidden="1">
      <c r="A16" s="466">
        <v>11</v>
      </c>
      <c r="B16" s="479"/>
      <c r="C16" s="467"/>
      <c r="D16" s="477"/>
      <c r="E16" s="548"/>
      <c r="F16" s="467"/>
      <c r="G16" s="479"/>
      <c r="H16" s="467"/>
      <c r="I16" s="477"/>
      <c r="J16" s="548"/>
      <c r="K16" s="467"/>
      <c r="L16" s="547">
        <f t="shared" si="27"/>
        <v>0</v>
      </c>
      <c r="M16" s="477"/>
      <c r="N16" s="636"/>
      <c r="O16" s="336"/>
      <c r="P16" s="474">
        <f t="shared" si="20"/>
      </c>
      <c r="Q16" s="127">
        <f t="shared" si="1"/>
        <v>0</v>
      </c>
      <c r="R16" s="127">
        <f t="shared" si="2"/>
        <v>0</v>
      </c>
      <c r="S16" s="127">
        <f t="shared" si="21"/>
      </c>
      <c r="T16" s="127">
        <f t="shared" si="3"/>
        <v>0</v>
      </c>
      <c r="U16" s="127">
        <f t="shared" si="22"/>
      </c>
      <c r="V16" s="245">
        <f t="shared" si="4"/>
      </c>
      <c r="W16" s="127">
        <f t="shared" si="5"/>
      </c>
      <c r="X16" s="245">
        <f t="shared" si="23"/>
      </c>
      <c r="Y16" s="127">
        <f t="shared" si="6"/>
        <v>0</v>
      </c>
      <c r="Z16" s="127">
        <f t="shared" si="7"/>
        <v>0</v>
      </c>
      <c r="AA16" s="127">
        <f t="shared" si="8"/>
        <v>0</v>
      </c>
      <c r="AB16" s="128">
        <f t="shared" si="9"/>
      </c>
      <c r="AD16" s="127">
        <f t="shared" si="10"/>
        <v>0</v>
      </c>
      <c r="AE16" s="127">
        <f t="shared" si="11"/>
        <v>0</v>
      </c>
      <c r="AF16" s="127">
        <f t="shared" si="24"/>
      </c>
      <c r="AG16" s="127">
        <f t="shared" si="12"/>
        <v>0</v>
      </c>
      <c r="AH16" s="127">
        <f t="shared" si="25"/>
      </c>
      <c r="AI16" s="245">
        <f t="shared" si="13"/>
      </c>
      <c r="AJ16" s="127">
        <f t="shared" si="14"/>
      </c>
      <c r="AK16" s="245">
        <f t="shared" si="26"/>
      </c>
      <c r="AL16" s="128">
        <f t="shared" si="15"/>
      </c>
      <c r="AN16" s="127">
        <f t="shared" si="16"/>
        <v>0</v>
      </c>
      <c r="AO16" s="127">
        <f t="shared" si="17"/>
        <v>0</v>
      </c>
      <c r="AP16" s="127">
        <f t="shared" si="18"/>
        <v>0</v>
      </c>
      <c r="AQ16" s="152" t="str">
        <f t="shared" si="19"/>
        <v> / </v>
      </c>
      <c r="BD16" s="638" t="b">
        <v>1</v>
      </c>
      <c r="CU16"/>
      <c r="DA16"/>
    </row>
    <row r="17" spans="1:99" s="120" customFormat="1" ht="21" customHeight="1" hidden="1">
      <c r="A17" s="466">
        <v>12</v>
      </c>
      <c r="B17" s="479"/>
      <c r="C17" s="467"/>
      <c r="D17" s="477"/>
      <c r="E17" s="548"/>
      <c r="F17" s="467"/>
      <c r="G17" s="479"/>
      <c r="H17" s="467"/>
      <c r="I17" s="477"/>
      <c r="J17" s="548"/>
      <c r="K17" s="467"/>
      <c r="L17" s="547">
        <f t="shared" si="27"/>
        <v>0</v>
      </c>
      <c r="M17" s="477"/>
      <c r="N17" s="636"/>
      <c r="O17" s="336"/>
      <c r="P17" s="474">
        <f t="shared" si="20"/>
      </c>
      <c r="Q17" s="127">
        <f t="shared" si="1"/>
        <v>0</v>
      </c>
      <c r="R17" s="127">
        <f t="shared" si="2"/>
        <v>0</v>
      </c>
      <c r="S17" s="127">
        <f t="shared" si="21"/>
      </c>
      <c r="T17" s="127">
        <f t="shared" si="3"/>
        <v>0</v>
      </c>
      <c r="U17" s="127">
        <f t="shared" si="22"/>
      </c>
      <c r="V17" s="245">
        <f t="shared" si="4"/>
      </c>
      <c r="W17" s="127">
        <f t="shared" si="5"/>
      </c>
      <c r="X17" s="245">
        <f t="shared" si="23"/>
      </c>
      <c r="Y17" s="127">
        <f t="shared" si="6"/>
        <v>0</v>
      </c>
      <c r="Z17" s="127">
        <f t="shared" si="7"/>
        <v>0</v>
      </c>
      <c r="AA17" s="127">
        <f t="shared" si="8"/>
        <v>0</v>
      </c>
      <c r="AB17" s="128">
        <f t="shared" si="9"/>
      </c>
      <c r="AD17" s="127">
        <f t="shared" si="10"/>
        <v>0</v>
      </c>
      <c r="AE17" s="127">
        <f t="shared" si="11"/>
        <v>0</v>
      </c>
      <c r="AF17" s="127">
        <f t="shared" si="24"/>
      </c>
      <c r="AG17" s="127">
        <f t="shared" si="12"/>
        <v>0</v>
      </c>
      <c r="AH17" s="127">
        <f t="shared" si="25"/>
      </c>
      <c r="AI17" s="245">
        <f t="shared" si="13"/>
      </c>
      <c r="AJ17" s="127">
        <f t="shared" si="14"/>
      </c>
      <c r="AK17" s="245">
        <f t="shared" si="26"/>
      </c>
      <c r="AL17" s="128">
        <f t="shared" si="15"/>
      </c>
      <c r="AN17" s="127">
        <f t="shared" si="16"/>
        <v>0</v>
      </c>
      <c r="AO17" s="127">
        <f t="shared" si="17"/>
        <v>0</v>
      </c>
      <c r="AP17" s="127">
        <f t="shared" si="18"/>
        <v>0</v>
      </c>
      <c r="AQ17" s="152" t="str">
        <f t="shared" si="19"/>
        <v> / </v>
      </c>
      <c r="BD17" s="638" t="b">
        <v>1</v>
      </c>
      <c r="CU17"/>
    </row>
    <row r="18" spans="1:99" s="120" customFormat="1" ht="21" customHeight="1" hidden="1">
      <c r="A18" s="466">
        <v>13</v>
      </c>
      <c r="B18" s="479"/>
      <c r="C18" s="467"/>
      <c r="D18" s="477"/>
      <c r="E18" s="548"/>
      <c r="F18" s="467"/>
      <c r="G18" s="479"/>
      <c r="H18" s="467"/>
      <c r="I18" s="477"/>
      <c r="J18" s="548"/>
      <c r="K18" s="467"/>
      <c r="L18" s="547">
        <f t="shared" si="27"/>
        <v>0</v>
      </c>
      <c r="M18" s="477"/>
      <c r="N18" s="636"/>
      <c r="O18" s="336"/>
      <c r="P18" s="474">
        <f t="shared" si="20"/>
      </c>
      <c r="Q18" s="127">
        <f t="shared" si="1"/>
        <v>0</v>
      </c>
      <c r="R18" s="127">
        <f t="shared" si="2"/>
        <v>0</v>
      </c>
      <c r="S18" s="127">
        <f t="shared" si="21"/>
      </c>
      <c r="T18" s="127">
        <f t="shared" si="3"/>
        <v>0</v>
      </c>
      <c r="U18" s="127">
        <f t="shared" si="22"/>
      </c>
      <c r="V18" s="245">
        <f t="shared" si="4"/>
      </c>
      <c r="W18" s="127">
        <f t="shared" si="5"/>
      </c>
      <c r="X18" s="245">
        <f t="shared" si="23"/>
      </c>
      <c r="Y18" s="127">
        <f t="shared" si="6"/>
        <v>0</v>
      </c>
      <c r="Z18" s="127">
        <f t="shared" si="7"/>
        <v>0</v>
      </c>
      <c r="AA18" s="127">
        <f t="shared" si="8"/>
        <v>0</v>
      </c>
      <c r="AB18" s="128">
        <f t="shared" si="9"/>
      </c>
      <c r="AD18" s="127">
        <f t="shared" si="10"/>
        <v>0</v>
      </c>
      <c r="AE18" s="127">
        <f t="shared" si="11"/>
        <v>0</v>
      </c>
      <c r="AF18" s="127">
        <f t="shared" si="24"/>
      </c>
      <c r="AG18" s="127">
        <f t="shared" si="12"/>
        <v>0</v>
      </c>
      <c r="AH18" s="127">
        <f t="shared" si="25"/>
      </c>
      <c r="AI18" s="245">
        <f t="shared" si="13"/>
      </c>
      <c r="AJ18" s="127">
        <f t="shared" si="14"/>
      </c>
      <c r="AK18" s="245">
        <f t="shared" si="26"/>
      </c>
      <c r="AL18" s="128">
        <f t="shared" si="15"/>
      </c>
      <c r="AN18" s="127">
        <f t="shared" si="16"/>
        <v>0</v>
      </c>
      <c r="AO18" s="127">
        <f t="shared" si="17"/>
        <v>0</v>
      </c>
      <c r="AP18" s="127">
        <f t="shared" si="18"/>
        <v>0</v>
      </c>
      <c r="AQ18" s="152" t="str">
        <f t="shared" si="19"/>
        <v> / </v>
      </c>
      <c r="BD18" s="638" t="b">
        <v>1</v>
      </c>
      <c r="CU18"/>
    </row>
    <row r="19" spans="1:99" s="120" customFormat="1" ht="21" customHeight="1" hidden="1">
      <c r="A19" s="466">
        <v>14</v>
      </c>
      <c r="B19" s="479"/>
      <c r="C19" s="467"/>
      <c r="D19" s="477"/>
      <c r="E19" s="548"/>
      <c r="F19" s="467"/>
      <c r="G19" s="479"/>
      <c r="H19" s="467"/>
      <c r="I19" s="477"/>
      <c r="J19" s="548"/>
      <c r="K19" s="467"/>
      <c r="L19" s="547">
        <f t="shared" si="27"/>
        <v>0</v>
      </c>
      <c r="M19" s="477"/>
      <c r="N19" s="636"/>
      <c r="O19" s="336"/>
      <c r="P19" s="474">
        <f t="shared" si="20"/>
      </c>
      <c r="Q19" s="127">
        <f t="shared" si="1"/>
        <v>0</v>
      </c>
      <c r="R19" s="127">
        <f t="shared" si="2"/>
        <v>0</v>
      </c>
      <c r="S19" s="127">
        <f t="shared" si="21"/>
      </c>
      <c r="T19" s="127">
        <f t="shared" si="3"/>
        <v>0</v>
      </c>
      <c r="U19" s="127">
        <f t="shared" si="22"/>
      </c>
      <c r="V19" s="245">
        <f t="shared" si="4"/>
      </c>
      <c r="W19" s="127">
        <f t="shared" si="5"/>
      </c>
      <c r="X19" s="245">
        <f t="shared" si="23"/>
      </c>
      <c r="Y19" s="127">
        <f t="shared" si="6"/>
        <v>0</v>
      </c>
      <c r="Z19" s="127">
        <f t="shared" si="7"/>
        <v>0</v>
      </c>
      <c r="AA19" s="127">
        <f t="shared" si="8"/>
        <v>0</v>
      </c>
      <c r="AB19" s="128">
        <f t="shared" si="9"/>
      </c>
      <c r="AD19" s="127">
        <f t="shared" si="10"/>
        <v>0</v>
      </c>
      <c r="AE19" s="127">
        <f t="shared" si="11"/>
        <v>0</v>
      </c>
      <c r="AF19" s="127">
        <f t="shared" si="24"/>
      </c>
      <c r="AG19" s="127">
        <f t="shared" si="12"/>
        <v>0</v>
      </c>
      <c r="AH19" s="127">
        <f t="shared" si="25"/>
      </c>
      <c r="AI19" s="245">
        <f t="shared" si="13"/>
      </c>
      <c r="AJ19" s="127">
        <f t="shared" si="14"/>
      </c>
      <c r="AK19" s="245">
        <f t="shared" si="26"/>
      </c>
      <c r="AL19" s="128">
        <f t="shared" si="15"/>
      </c>
      <c r="AN19" s="127">
        <f t="shared" si="16"/>
        <v>0</v>
      </c>
      <c r="AO19" s="127">
        <f t="shared" si="17"/>
        <v>0</v>
      </c>
      <c r="AP19" s="127">
        <f t="shared" si="18"/>
        <v>0</v>
      </c>
      <c r="AQ19" s="152" t="str">
        <f t="shared" si="19"/>
        <v> / </v>
      </c>
      <c r="BD19" s="638" t="b">
        <v>1</v>
      </c>
      <c r="CU19"/>
    </row>
    <row r="20" spans="1:105" s="120" customFormat="1" ht="21" customHeight="1" hidden="1">
      <c r="A20" s="466">
        <v>15</v>
      </c>
      <c r="B20" s="479"/>
      <c r="C20" s="467"/>
      <c r="D20" s="477"/>
      <c r="E20" s="548"/>
      <c r="F20" s="467"/>
      <c r="G20" s="479"/>
      <c r="H20" s="467"/>
      <c r="I20" s="477"/>
      <c r="J20" s="548"/>
      <c r="K20" s="467"/>
      <c r="L20" s="547">
        <f t="shared" si="27"/>
        <v>0</v>
      </c>
      <c r="M20" s="477"/>
      <c r="N20" s="636"/>
      <c r="O20" s="336"/>
      <c r="P20" s="474">
        <f t="shared" si="20"/>
      </c>
      <c r="Q20" s="127">
        <f t="shared" si="1"/>
        <v>0</v>
      </c>
      <c r="R20" s="127">
        <f t="shared" si="2"/>
        <v>0</v>
      </c>
      <c r="S20" s="127">
        <f t="shared" si="21"/>
      </c>
      <c r="T20" s="127">
        <f t="shared" si="3"/>
        <v>0</v>
      </c>
      <c r="U20" s="127">
        <f t="shared" si="22"/>
      </c>
      <c r="V20" s="245">
        <f t="shared" si="4"/>
      </c>
      <c r="W20" s="127">
        <f t="shared" si="5"/>
      </c>
      <c r="X20" s="245">
        <f t="shared" si="23"/>
      </c>
      <c r="Y20" s="127">
        <f t="shared" si="6"/>
        <v>0</v>
      </c>
      <c r="Z20" s="127">
        <f t="shared" si="7"/>
        <v>0</v>
      </c>
      <c r="AA20" s="127">
        <f t="shared" si="8"/>
        <v>0</v>
      </c>
      <c r="AB20" s="128">
        <f t="shared" si="9"/>
      </c>
      <c r="AD20" s="127">
        <f t="shared" si="10"/>
        <v>0</v>
      </c>
      <c r="AE20" s="127">
        <f t="shared" si="11"/>
        <v>0</v>
      </c>
      <c r="AF20" s="127">
        <f t="shared" si="24"/>
      </c>
      <c r="AG20" s="127">
        <f t="shared" si="12"/>
        <v>0</v>
      </c>
      <c r="AH20" s="127">
        <f t="shared" si="25"/>
      </c>
      <c r="AI20" s="245">
        <f t="shared" si="13"/>
      </c>
      <c r="AJ20" s="127">
        <f t="shared" si="14"/>
      </c>
      <c r="AK20" s="245">
        <f t="shared" si="26"/>
      </c>
      <c r="AL20" s="128">
        <f t="shared" si="15"/>
      </c>
      <c r="AN20" s="127">
        <f t="shared" si="16"/>
        <v>0</v>
      </c>
      <c r="AO20" s="127">
        <f t="shared" si="17"/>
        <v>0</v>
      </c>
      <c r="AP20" s="127">
        <f t="shared" si="18"/>
        <v>0</v>
      </c>
      <c r="AQ20" s="152" t="str">
        <f t="shared" si="19"/>
        <v> / </v>
      </c>
      <c r="BD20" s="638" t="b">
        <v>1</v>
      </c>
      <c r="CU20"/>
      <c r="DA20"/>
    </row>
    <row r="21" spans="1:99" s="120" customFormat="1" ht="21" customHeight="1" hidden="1">
      <c r="A21" s="466">
        <v>16</v>
      </c>
      <c r="B21" s="479"/>
      <c r="C21" s="467"/>
      <c r="D21" s="477"/>
      <c r="E21" s="548"/>
      <c r="F21" s="467"/>
      <c r="G21" s="479"/>
      <c r="H21" s="467"/>
      <c r="I21" s="477"/>
      <c r="J21" s="548"/>
      <c r="K21" s="467"/>
      <c r="L21" s="547">
        <f t="shared" si="27"/>
        <v>0</v>
      </c>
      <c r="M21" s="477"/>
      <c r="N21" s="636"/>
      <c r="O21" s="336"/>
      <c r="P21" s="474">
        <f t="shared" si="20"/>
      </c>
      <c r="Q21" s="127">
        <f t="shared" si="1"/>
        <v>0</v>
      </c>
      <c r="R21" s="127">
        <f t="shared" si="2"/>
        <v>0</v>
      </c>
      <c r="S21" s="127">
        <f t="shared" si="21"/>
      </c>
      <c r="T21" s="127">
        <f t="shared" si="3"/>
        <v>0</v>
      </c>
      <c r="U21" s="127">
        <f t="shared" si="22"/>
      </c>
      <c r="V21" s="245">
        <f t="shared" si="4"/>
      </c>
      <c r="W21" s="127">
        <f t="shared" si="5"/>
      </c>
      <c r="X21" s="245">
        <f t="shared" si="23"/>
      </c>
      <c r="Y21" s="127">
        <f t="shared" si="6"/>
        <v>0</v>
      </c>
      <c r="Z21" s="127">
        <f t="shared" si="7"/>
        <v>0</v>
      </c>
      <c r="AA21" s="127">
        <f t="shared" si="8"/>
        <v>0</v>
      </c>
      <c r="AB21" s="128">
        <f t="shared" si="9"/>
      </c>
      <c r="AD21" s="127">
        <f t="shared" si="10"/>
        <v>0</v>
      </c>
      <c r="AE21" s="127">
        <f t="shared" si="11"/>
        <v>0</v>
      </c>
      <c r="AF21" s="127">
        <f t="shared" si="24"/>
      </c>
      <c r="AG21" s="127">
        <f t="shared" si="12"/>
        <v>0</v>
      </c>
      <c r="AH21" s="127">
        <f t="shared" si="25"/>
      </c>
      <c r="AI21" s="245">
        <f t="shared" si="13"/>
      </c>
      <c r="AJ21" s="127">
        <f t="shared" si="14"/>
      </c>
      <c r="AK21" s="245">
        <f t="shared" si="26"/>
      </c>
      <c r="AL21" s="128">
        <f t="shared" si="15"/>
      </c>
      <c r="AN21" s="127">
        <f t="shared" si="16"/>
        <v>0</v>
      </c>
      <c r="AO21" s="127">
        <f t="shared" si="17"/>
        <v>0</v>
      </c>
      <c r="AP21" s="127">
        <f t="shared" si="18"/>
        <v>0</v>
      </c>
      <c r="AQ21" s="152" t="str">
        <f t="shared" si="19"/>
        <v> / </v>
      </c>
      <c r="BD21" s="638" t="b">
        <v>1</v>
      </c>
      <c r="CU21"/>
    </row>
    <row r="22" spans="1:99" s="120" customFormat="1" ht="21" customHeight="1" hidden="1">
      <c r="A22" s="466">
        <v>17</v>
      </c>
      <c r="B22" s="479"/>
      <c r="C22" s="467"/>
      <c r="D22" s="477"/>
      <c r="E22" s="548"/>
      <c r="F22" s="467"/>
      <c r="G22" s="479"/>
      <c r="H22" s="467"/>
      <c r="I22" s="477"/>
      <c r="J22" s="548"/>
      <c r="K22" s="467"/>
      <c r="L22" s="547">
        <f t="shared" si="27"/>
        <v>0</v>
      </c>
      <c r="M22" s="477"/>
      <c r="N22" s="636"/>
      <c r="O22" s="336"/>
      <c r="P22" s="474">
        <f t="shared" si="20"/>
      </c>
      <c r="Q22" s="127">
        <f t="shared" si="1"/>
        <v>0</v>
      </c>
      <c r="R22" s="127">
        <f t="shared" si="2"/>
        <v>0</v>
      </c>
      <c r="S22" s="127">
        <f t="shared" si="21"/>
      </c>
      <c r="T22" s="127">
        <f t="shared" si="3"/>
        <v>0</v>
      </c>
      <c r="U22" s="127">
        <f t="shared" si="22"/>
      </c>
      <c r="V22" s="245">
        <f t="shared" si="4"/>
      </c>
      <c r="W22" s="127">
        <f t="shared" si="5"/>
      </c>
      <c r="X22" s="245">
        <f t="shared" si="23"/>
      </c>
      <c r="Y22" s="127">
        <f t="shared" si="6"/>
        <v>0</v>
      </c>
      <c r="Z22" s="127">
        <f t="shared" si="7"/>
        <v>0</v>
      </c>
      <c r="AA22" s="127">
        <f t="shared" si="8"/>
        <v>0</v>
      </c>
      <c r="AB22" s="128">
        <f t="shared" si="9"/>
      </c>
      <c r="AD22" s="127">
        <f t="shared" si="10"/>
        <v>0</v>
      </c>
      <c r="AE22" s="127">
        <f t="shared" si="11"/>
        <v>0</v>
      </c>
      <c r="AF22" s="127">
        <f t="shared" si="24"/>
      </c>
      <c r="AG22" s="127">
        <f t="shared" si="12"/>
        <v>0</v>
      </c>
      <c r="AH22" s="127">
        <f t="shared" si="25"/>
      </c>
      <c r="AI22" s="245">
        <f t="shared" si="13"/>
      </c>
      <c r="AJ22" s="127">
        <f t="shared" si="14"/>
      </c>
      <c r="AK22" s="245">
        <f t="shared" si="26"/>
      </c>
      <c r="AL22" s="128">
        <f t="shared" si="15"/>
      </c>
      <c r="AN22" s="127">
        <f t="shared" si="16"/>
        <v>0</v>
      </c>
      <c r="AO22" s="127">
        <f t="shared" si="17"/>
        <v>0</v>
      </c>
      <c r="AP22" s="127">
        <f t="shared" si="18"/>
        <v>0</v>
      </c>
      <c r="AQ22" s="152" t="str">
        <f t="shared" si="19"/>
        <v> / </v>
      </c>
      <c r="BD22" s="638" t="b">
        <v>1</v>
      </c>
      <c r="CU22"/>
    </row>
    <row r="23" spans="1:99" s="120" customFormat="1" ht="21" customHeight="1" hidden="1">
      <c r="A23" s="466">
        <v>18</v>
      </c>
      <c r="B23" s="479"/>
      <c r="C23" s="467"/>
      <c r="D23" s="477"/>
      <c r="E23" s="548"/>
      <c r="F23" s="467"/>
      <c r="G23" s="479"/>
      <c r="H23" s="467"/>
      <c r="I23" s="477"/>
      <c r="J23" s="548"/>
      <c r="K23" s="467"/>
      <c r="L23" s="547">
        <f t="shared" si="27"/>
        <v>0</v>
      </c>
      <c r="M23" s="477"/>
      <c r="N23" s="636"/>
      <c r="O23" s="336"/>
      <c r="P23" s="474">
        <f t="shared" si="20"/>
      </c>
      <c r="Q23" s="127">
        <f t="shared" si="1"/>
        <v>0</v>
      </c>
      <c r="R23" s="127">
        <f t="shared" si="2"/>
        <v>0</v>
      </c>
      <c r="S23" s="127">
        <f t="shared" si="21"/>
      </c>
      <c r="T23" s="127">
        <f t="shared" si="3"/>
        <v>0</v>
      </c>
      <c r="U23" s="127">
        <f t="shared" si="22"/>
      </c>
      <c r="V23" s="245">
        <f t="shared" si="4"/>
      </c>
      <c r="W23" s="127">
        <f t="shared" si="5"/>
      </c>
      <c r="X23" s="245">
        <f t="shared" si="23"/>
      </c>
      <c r="Y23" s="127">
        <f t="shared" si="6"/>
        <v>0</v>
      </c>
      <c r="Z23" s="127">
        <f t="shared" si="7"/>
        <v>0</v>
      </c>
      <c r="AA23" s="127">
        <f t="shared" si="8"/>
        <v>0</v>
      </c>
      <c r="AB23" s="128">
        <f t="shared" si="9"/>
      </c>
      <c r="AD23" s="127">
        <f t="shared" si="10"/>
        <v>0</v>
      </c>
      <c r="AE23" s="127">
        <f t="shared" si="11"/>
        <v>0</v>
      </c>
      <c r="AF23" s="127">
        <f t="shared" si="24"/>
      </c>
      <c r="AG23" s="127">
        <f t="shared" si="12"/>
        <v>0</v>
      </c>
      <c r="AH23" s="127">
        <f t="shared" si="25"/>
      </c>
      <c r="AI23" s="245">
        <f t="shared" si="13"/>
      </c>
      <c r="AJ23" s="127">
        <f t="shared" si="14"/>
      </c>
      <c r="AK23" s="245">
        <f t="shared" si="26"/>
      </c>
      <c r="AL23" s="128">
        <f t="shared" si="15"/>
      </c>
      <c r="AN23" s="127">
        <f t="shared" si="16"/>
        <v>0</v>
      </c>
      <c r="AO23" s="127">
        <f t="shared" si="17"/>
        <v>0</v>
      </c>
      <c r="AP23" s="127">
        <f t="shared" si="18"/>
        <v>0</v>
      </c>
      <c r="AQ23" s="152" t="str">
        <f t="shared" si="19"/>
        <v> / </v>
      </c>
      <c r="BD23" s="638" t="b">
        <v>1</v>
      </c>
      <c r="CU23"/>
    </row>
    <row r="24" spans="1:105" s="120" customFormat="1" ht="21" customHeight="1" hidden="1">
      <c r="A24" s="466">
        <v>19</v>
      </c>
      <c r="B24" s="479"/>
      <c r="C24" s="467"/>
      <c r="D24" s="477"/>
      <c r="E24" s="548"/>
      <c r="F24" s="467"/>
      <c r="G24" s="479"/>
      <c r="H24" s="467"/>
      <c r="I24" s="477"/>
      <c r="J24" s="548"/>
      <c r="K24" s="467"/>
      <c r="L24" s="547">
        <f t="shared" si="27"/>
        <v>0</v>
      </c>
      <c r="M24" s="477"/>
      <c r="N24" s="636"/>
      <c r="O24" s="336"/>
      <c r="P24" s="474">
        <f t="shared" si="20"/>
      </c>
      <c r="Q24" s="127">
        <f t="shared" si="1"/>
        <v>0</v>
      </c>
      <c r="R24" s="127">
        <f t="shared" si="2"/>
        <v>0</v>
      </c>
      <c r="S24" s="127">
        <f t="shared" si="21"/>
      </c>
      <c r="T24" s="127">
        <f t="shared" si="3"/>
        <v>0</v>
      </c>
      <c r="U24" s="127">
        <f t="shared" si="22"/>
      </c>
      <c r="V24" s="245">
        <f t="shared" si="4"/>
      </c>
      <c r="W24" s="127">
        <f t="shared" si="5"/>
      </c>
      <c r="X24" s="245">
        <f t="shared" si="23"/>
      </c>
      <c r="Y24" s="127">
        <f t="shared" si="6"/>
        <v>0</v>
      </c>
      <c r="Z24" s="127">
        <f t="shared" si="7"/>
        <v>0</v>
      </c>
      <c r="AA24" s="127">
        <f t="shared" si="8"/>
        <v>0</v>
      </c>
      <c r="AB24" s="128">
        <f t="shared" si="9"/>
      </c>
      <c r="AD24" s="127">
        <f t="shared" si="10"/>
        <v>0</v>
      </c>
      <c r="AE24" s="127">
        <f t="shared" si="11"/>
        <v>0</v>
      </c>
      <c r="AF24" s="127">
        <f t="shared" si="24"/>
      </c>
      <c r="AG24" s="127">
        <f t="shared" si="12"/>
        <v>0</v>
      </c>
      <c r="AH24" s="127">
        <f t="shared" si="25"/>
      </c>
      <c r="AI24" s="245">
        <f t="shared" si="13"/>
      </c>
      <c r="AJ24" s="127">
        <f t="shared" si="14"/>
      </c>
      <c r="AK24" s="245">
        <f t="shared" si="26"/>
      </c>
      <c r="AL24" s="128">
        <f t="shared" si="15"/>
      </c>
      <c r="AN24" s="127">
        <f t="shared" si="16"/>
        <v>0</v>
      </c>
      <c r="AO24" s="127">
        <f t="shared" si="17"/>
        <v>0</v>
      </c>
      <c r="AP24" s="127">
        <f t="shared" si="18"/>
        <v>0</v>
      </c>
      <c r="AQ24" s="152" t="str">
        <f t="shared" si="19"/>
        <v> / </v>
      </c>
      <c r="BD24" s="638" t="b">
        <v>1</v>
      </c>
      <c r="CU24"/>
      <c r="DA24"/>
    </row>
    <row r="25" spans="1:105" s="120" customFormat="1" ht="21" customHeight="1" hidden="1">
      <c r="A25" s="466">
        <v>20</v>
      </c>
      <c r="B25" s="478"/>
      <c r="C25" s="467"/>
      <c r="D25" s="477"/>
      <c r="E25" s="548"/>
      <c r="F25" s="467"/>
      <c r="G25" s="478"/>
      <c r="H25" s="467"/>
      <c r="I25" s="477"/>
      <c r="J25" s="548"/>
      <c r="K25" s="467"/>
      <c r="L25" s="547">
        <f t="shared" si="27"/>
        <v>0</v>
      </c>
      <c r="M25" s="477"/>
      <c r="N25" s="636"/>
      <c r="O25" s="336"/>
      <c r="P25" s="474">
        <f t="shared" si="20"/>
      </c>
      <c r="Q25" s="127">
        <f t="shared" si="1"/>
        <v>0</v>
      </c>
      <c r="R25" s="127">
        <f t="shared" si="2"/>
        <v>0</v>
      </c>
      <c r="S25" s="127">
        <f t="shared" si="21"/>
      </c>
      <c r="T25" s="127">
        <f t="shared" si="3"/>
        <v>0</v>
      </c>
      <c r="U25" s="127">
        <f t="shared" si="22"/>
      </c>
      <c r="V25" s="245">
        <f t="shared" si="4"/>
      </c>
      <c r="W25" s="127">
        <f t="shared" si="5"/>
      </c>
      <c r="X25" s="245">
        <f t="shared" si="23"/>
      </c>
      <c r="Y25" s="127">
        <f t="shared" si="6"/>
        <v>0</v>
      </c>
      <c r="Z25" s="127">
        <f t="shared" si="7"/>
        <v>0</v>
      </c>
      <c r="AA25" s="127">
        <f t="shared" si="8"/>
        <v>0</v>
      </c>
      <c r="AB25" s="128">
        <f t="shared" si="9"/>
      </c>
      <c r="AD25" s="127">
        <f t="shared" si="10"/>
        <v>0</v>
      </c>
      <c r="AE25" s="127">
        <f t="shared" si="11"/>
        <v>0</v>
      </c>
      <c r="AF25" s="127">
        <f t="shared" si="24"/>
      </c>
      <c r="AG25" s="127">
        <f t="shared" si="12"/>
        <v>0</v>
      </c>
      <c r="AH25" s="127">
        <f t="shared" si="25"/>
      </c>
      <c r="AI25" s="245">
        <f t="shared" si="13"/>
      </c>
      <c r="AJ25" s="127">
        <f t="shared" si="14"/>
      </c>
      <c r="AK25" s="245">
        <f t="shared" si="26"/>
      </c>
      <c r="AL25" s="128">
        <f t="shared" si="15"/>
      </c>
      <c r="AN25" s="127">
        <f t="shared" si="16"/>
        <v>0</v>
      </c>
      <c r="AO25" s="127">
        <f t="shared" si="17"/>
        <v>0</v>
      </c>
      <c r="AP25" s="127">
        <f t="shared" si="18"/>
        <v>0</v>
      </c>
      <c r="AQ25" s="152" t="str">
        <f t="shared" si="19"/>
        <v> / </v>
      </c>
      <c r="BD25" s="638" t="b">
        <v>1</v>
      </c>
      <c r="CU25"/>
      <c r="DA25"/>
    </row>
    <row r="26" spans="1:99" s="120" customFormat="1" ht="21" customHeight="1" hidden="1">
      <c r="A26" s="466">
        <v>21</v>
      </c>
      <c r="B26" s="479"/>
      <c r="C26" s="467"/>
      <c r="D26" s="477"/>
      <c r="E26" s="548"/>
      <c r="F26" s="467"/>
      <c r="G26" s="479"/>
      <c r="H26" s="467"/>
      <c r="I26" s="477"/>
      <c r="J26" s="548"/>
      <c r="K26" s="467"/>
      <c r="L26" s="547">
        <f t="shared" si="27"/>
        <v>0</v>
      </c>
      <c r="M26" s="477"/>
      <c r="N26" s="636"/>
      <c r="O26" s="336"/>
      <c r="P26" s="474">
        <f t="shared" si="20"/>
      </c>
      <c r="Q26" s="127">
        <f t="shared" si="1"/>
        <v>0</v>
      </c>
      <c r="R26" s="127">
        <f t="shared" si="2"/>
        <v>0</v>
      </c>
      <c r="S26" s="127">
        <f t="shared" si="21"/>
      </c>
      <c r="T26" s="127">
        <f t="shared" si="3"/>
        <v>0</v>
      </c>
      <c r="U26" s="127">
        <f t="shared" si="22"/>
      </c>
      <c r="V26" s="245">
        <f t="shared" si="4"/>
      </c>
      <c r="W26" s="127">
        <f t="shared" si="5"/>
      </c>
      <c r="X26" s="245">
        <f t="shared" si="23"/>
      </c>
      <c r="Y26" s="127">
        <f t="shared" si="6"/>
        <v>0</v>
      </c>
      <c r="Z26" s="127">
        <f t="shared" si="7"/>
        <v>0</v>
      </c>
      <c r="AA26" s="127">
        <f t="shared" si="8"/>
        <v>0</v>
      </c>
      <c r="AB26" s="128">
        <f t="shared" si="9"/>
      </c>
      <c r="AD26" s="127">
        <f t="shared" si="10"/>
        <v>0</v>
      </c>
      <c r="AE26" s="127">
        <f t="shared" si="11"/>
        <v>0</v>
      </c>
      <c r="AF26" s="127">
        <f t="shared" si="24"/>
      </c>
      <c r="AG26" s="127">
        <f t="shared" si="12"/>
        <v>0</v>
      </c>
      <c r="AH26" s="127">
        <f t="shared" si="25"/>
      </c>
      <c r="AI26" s="245">
        <f t="shared" si="13"/>
      </c>
      <c r="AJ26" s="127">
        <f t="shared" si="14"/>
      </c>
      <c r="AK26" s="245">
        <f t="shared" si="26"/>
      </c>
      <c r="AL26" s="128">
        <f t="shared" si="15"/>
      </c>
      <c r="AN26" s="127">
        <f t="shared" si="16"/>
        <v>0</v>
      </c>
      <c r="AO26" s="127">
        <f t="shared" si="17"/>
        <v>0</v>
      </c>
      <c r="AP26" s="127">
        <f t="shared" si="18"/>
        <v>0</v>
      </c>
      <c r="AQ26" s="152" t="str">
        <f t="shared" si="19"/>
        <v> / </v>
      </c>
      <c r="BD26" s="638" t="b">
        <v>1</v>
      </c>
      <c r="CU26"/>
    </row>
    <row r="27" spans="1:99" s="120" customFormat="1" ht="21" customHeight="1" hidden="1">
      <c r="A27" s="466">
        <v>22</v>
      </c>
      <c r="B27" s="479"/>
      <c r="C27" s="467"/>
      <c r="D27" s="477"/>
      <c r="E27" s="548"/>
      <c r="F27" s="467"/>
      <c r="G27" s="479"/>
      <c r="H27" s="467"/>
      <c r="I27" s="477"/>
      <c r="J27" s="548"/>
      <c r="K27" s="467"/>
      <c r="L27" s="547">
        <f t="shared" si="27"/>
        <v>0</v>
      </c>
      <c r="M27" s="477"/>
      <c r="N27" s="636"/>
      <c r="O27" s="336"/>
      <c r="P27" s="474">
        <f t="shared" si="20"/>
      </c>
      <c r="Q27" s="127">
        <f t="shared" si="1"/>
        <v>0</v>
      </c>
      <c r="R27" s="127">
        <f t="shared" si="2"/>
        <v>0</v>
      </c>
      <c r="S27" s="127">
        <f t="shared" si="21"/>
      </c>
      <c r="T27" s="127">
        <f t="shared" si="3"/>
        <v>0</v>
      </c>
      <c r="U27" s="127">
        <f t="shared" si="22"/>
      </c>
      <c r="V27" s="245">
        <f t="shared" si="4"/>
      </c>
      <c r="W27" s="127">
        <f t="shared" si="5"/>
      </c>
      <c r="X27" s="245">
        <f t="shared" si="23"/>
      </c>
      <c r="Y27" s="127">
        <f t="shared" si="6"/>
        <v>0</v>
      </c>
      <c r="Z27" s="127">
        <f t="shared" si="7"/>
        <v>0</v>
      </c>
      <c r="AA27" s="127">
        <f t="shared" si="8"/>
        <v>0</v>
      </c>
      <c r="AB27" s="128">
        <f t="shared" si="9"/>
      </c>
      <c r="AD27" s="127">
        <f t="shared" si="10"/>
        <v>0</v>
      </c>
      <c r="AE27" s="127">
        <f t="shared" si="11"/>
        <v>0</v>
      </c>
      <c r="AF27" s="127">
        <f t="shared" si="24"/>
      </c>
      <c r="AG27" s="127">
        <f t="shared" si="12"/>
        <v>0</v>
      </c>
      <c r="AH27" s="127">
        <f t="shared" si="25"/>
      </c>
      <c r="AI27" s="245">
        <f t="shared" si="13"/>
      </c>
      <c r="AJ27" s="127">
        <f t="shared" si="14"/>
      </c>
      <c r="AK27" s="245">
        <f t="shared" si="26"/>
      </c>
      <c r="AL27" s="128">
        <f t="shared" si="15"/>
      </c>
      <c r="AN27" s="127">
        <f t="shared" si="16"/>
        <v>0</v>
      </c>
      <c r="AO27" s="127">
        <f t="shared" si="17"/>
        <v>0</v>
      </c>
      <c r="AP27" s="127">
        <f t="shared" si="18"/>
        <v>0</v>
      </c>
      <c r="AQ27" s="152" t="str">
        <f t="shared" si="19"/>
        <v> / </v>
      </c>
      <c r="BD27" s="638" t="b">
        <v>1</v>
      </c>
      <c r="CU27"/>
    </row>
    <row r="28" spans="1:105" s="120" customFormat="1" ht="21" customHeight="1" hidden="1">
      <c r="A28" s="466">
        <v>23</v>
      </c>
      <c r="B28" s="479"/>
      <c r="C28" s="467"/>
      <c r="D28" s="477"/>
      <c r="E28" s="548"/>
      <c r="F28" s="467"/>
      <c r="G28" s="479"/>
      <c r="H28" s="467"/>
      <c r="I28" s="477"/>
      <c r="J28" s="548"/>
      <c r="K28" s="467"/>
      <c r="L28" s="547">
        <f t="shared" si="27"/>
        <v>0</v>
      </c>
      <c r="M28" s="477"/>
      <c r="N28" s="636"/>
      <c r="O28" s="336"/>
      <c r="P28" s="474">
        <f t="shared" si="20"/>
      </c>
      <c r="Q28" s="127">
        <f t="shared" si="1"/>
        <v>0</v>
      </c>
      <c r="R28" s="127">
        <f t="shared" si="2"/>
        <v>0</v>
      </c>
      <c r="S28" s="127">
        <f t="shared" si="21"/>
      </c>
      <c r="T28" s="127">
        <f t="shared" si="3"/>
        <v>0</v>
      </c>
      <c r="U28" s="127">
        <f t="shared" si="22"/>
      </c>
      <c r="V28" s="245">
        <f t="shared" si="4"/>
      </c>
      <c r="W28" s="127">
        <f t="shared" si="5"/>
      </c>
      <c r="X28" s="245">
        <f t="shared" si="23"/>
      </c>
      <c r="Y28" s="127">
        <f t="shared" si="6"/>
        <v>0</v>
      </c>
      <c r="Z28" s="127">
        <f t="shared" si="7"/>
        <v>0</v>
      </c>
      <c r="AA28" s="127">
        <f t="shared" si="8"/>
        <v>0</v>
      </c>
      <c r="AB28" s="128">
        <f t="shared" si="9"/>
      </c>
      <c r="AD28" s="127">
        <f t="shared" si="10"/>
        <v>0</v>
      </c>
      <c r="AE28" s="127">
        <f t="shared" si="11"/>
        <v>0</v>
      </c>
      <c r="AF28" s="127">
        <f t="shared" si="24"/>
      </c>
      <c r="AG28" s="127">
        <f t="shared" si="12"/>
        <v>0</v>
      </c>
      <c r="AH28" s="127">
        <f t="shared" si="25"/>
      </c>
      <c r="AI28" s="245">
        <f t="shared" si="13"/>
      </c>
      <c r="AJ28" s="127">
        <f t="shared" si="14"/>
      </c>
      <c r="AK28" s="245">
        <f t="shared" si="26"/>
      </c>
      <c r="AL28" s="128">
        <f t="shared" si="15"/>
      </c>
      <c r="AN28" s="127">
        <f t="shared" si="16"/>
        <v>0</v>
      </c>
      <c r="AO28" s="127">
        <f t="shared" si="17"/>
        <v>0</v>
      </c>
      <c r="AP28" s="127">
        <f t="shared" si="18"/>
        <v>0</v>
      </c>
      <c r="AQ28" s="152" t="str">
        <f t="shared" si="19"/>
        <v> / </v>
      </c>
      <c r="BD28" s="638" t="b">
        <v>1</v>
      </c>
      <c r="CU28"/>
      <c r="DA28"/>
    </row>
    <row r="29" spans="1:99" s="120" customFormat="1" ht="21" customHeight="1" hidden="1">
      <c r="A29" s="466">
        <v>24</v>
      </c>
      <c r="B29" s="479"/>
      <c r="C29" s="467"/>
      <c r="D29" s="477"/>
      <c r="E29" s="548"/>
      <c r="F29" s="467"/>
      <c r="G29" s="479"/>
      <c r="H29" s="467"/>
      <c r="I29" s="477"/>
      <c r="J29" s="548"/>
      <c r="K29" s="467"/>
      <c r="L29" s="547">
        <f t="shared" si="27"/>
        <v>0</v>
      </c>
      <c r="M29" s="477"/>
      <c r="N29" s="636"/>
      <c r="O29" s="336"/>
      <c r="P29" s="474">
        <f t="shared" si="20"/>
      </c>
      <c r="Q29" s="127">
        <f t="shared" si="1"/>
        <v>0</v>
      </c>
      <c r="R29" s="127">
        <f t="shared" si="2"/>
        <v>0</v>
      </c>
      <c r="S29" s="127">
        <f t="shared" si="21"/>
      </c>
      <c r="T29" s="127">
        <f t="shared" si="3"/>
        <v>0</v>
      </c>
      <c r="U29" s="127">
        <f t="shared" si="22"/>
      </c>
      <c r="V29" s="245">
        <f t="shared" si="4"/>
      </c>
      <c r="W29" s="127">
        <f t="shared" si="5"/>
      </c>
      <c r="X29" s="245">
        <f t="shared" si="23"/>
      </c>
      <c r="Y29" s="127">
        <f t="shared" si="6"/>
        <v>0</v>
      </c>
      <c r="Z29" s="127">
        <f t="shared" si="7"/>
        <v>0</v>
      </c>
      <c r="AA29" s="127">
        <f t="shared" si="8"/>
        <v>0</v>
      </c>
      <c r="AB29" s="128">
        <f t="shared" si="9"/>
      </c>
      <c r="AD29" s="127">
        <f t="shared" si="10"/>
        <v>0</v>
      </c>
      <c r="AE29" s="127">
        <f t="shared" si="11"/>
        <v>0</v>
      </c>
      <c r="AF29" s="127">
        <f t="shared" si="24"/>
      </c>
      <c r="AG29" s="127">
        <f t="shared" si="12"/>
        <v>0</v>
      </c>
      <c r="AH29" s="127">
        <f t="shared" si="25"/>
      </c>
      <c r="AI29" s="245">
        <f t="shared" si="13"/>
      </c>
      <c r="AJ29" s="127">
        <f t="shared" si="14"/>
      </c>
      <c r="AK29" s="245">
        <f t="shared" si="26"/>
      </c>
      <c r="AL29" s="128">
        <f t="shared" si="15"/>
      </c>
      <c r="AN29" s="127">
        <f t="shared" si="16"/>
        <v>0</v>
      </c>
      <c r="AO29" s="127">
        <f t="shared" si="17"/>
        <v>0</v>
      </c>
      <c r="AP29" s="127">
        <f t="shared" si="18"/>
        <v>0</v>
      </c>
      <c r="AQ29" s="152" t="str">
        <f t="shared" si="19"/>
        <v> / </v>
      </c>
      <c r="BD29" s="638" t="b">
        <v>1</v>
      </c>
      <c r="CU29"/>
    </row>
    <row r="30" spans="1:105" s="120" customFormat="1" ht="21" customHeight="1" hidden="1">
      <c r="A30" s="466">
        <v>25</v>
      </c>
      <c r="B30" s="479"/>
      <c r="C30" s="467"/>
      <c r="D30" s="477"/>
      <c r="E30" s="548"/>
      <c r="F30" s="467"/>
      <c r="G30" s="479"/>
      <c r="H30" s="467"/>
      <c r="I30" s="477"/>
      <c r="J30" s="548"/>
      <c r="K30" s="467"/>
      <c r="L30" s="547">
        <f t="shared" si="27"/>
        <v>0</v>
      </c>
      <c r="M30" s="477"/>
      <c r="N30" s="636"/>
      <c r="O30" s="336"/>
      <c r="P30" s="474">
        <f t="shared" si="20"/>
      </c>
      <c r="Q30" s="127">
        <f t="shared" si="1"/>
        <v>0</v>
      </c>
      <c r="R30" s="127">
        <f t="shared" si="2"/>
        <v>0</v>
      </c>
      <c r="S30" s="127">
        <f t="shared" si="21"/>
      </c>
      <c r="T30" s="127">
        <f t="shared" si="3"/>
        <v>0</v>
      </c>
      <c r="U30" s="127">
        <f t="shared" si="22"/>
      </c>
      <c r="V30" s="245">
        <f t="shared" si="4"/>
      </c>
      <c r="W30" s="127">
        <f t="shared" si="5"/>
      </c>
      <c r="X30" s="245">
        <f t="shared" si="23"/>
      </c>
      <c r="Y30" s="127">
        <f t="shared" si="6"/>
        <v>0</v>
      </c>
      <c r="Z30" s="127">
        <f t="shared" si="7"/>
        <v>0</v>
      </c>
      <c r="AA30" s="127">
        <f t="shared" si="8"/>
        <v>0</v>
      </c>
      <c r="AB30" s="128">
        <f t="shared" si="9"/>
      </c>
      <c r="AD30" s="127">
        <f t="shared" si="10"/>
        <v>0</v>
      </c>
      <c r="AE30" s="127">
        <f t="shared" si="11"/>
        <v>0</v>
      </c>
      <c r="AF30" s="127">
        <f t="shared" si="24"/>
      </c>
      <c r="AG30" s="127">
        <f t="shared" si="12"/>
        <v>0</v>
      </c>
      <c r="AH30" s="127">
        <f t="shared" si="25"/>
      </c>
      <c r="AI30" s="245">
        <f t="shared" si="13"/>
      </c>
      <c r="AJ30" s="127">
        <f t="shared" si="14"/>
      </c>
      <c r="AK30" s="245">
        <f t="shared" si="26"/>
      </c>
      <c r="AL30" s="128">
        <f t="shared" si="15"/>
      </c>
      <c r="AN30" s="127">
        <f t="shared" si="16"/>
        <v>0</v>
      </c>
      <c r="AO30" s="127">
        <f t="shared" si="17"/>
        <v>0</v>
      </c>
      <c r="AP30" s="127">
        <f t="shared" si="18"/>
        <v>0</v>
      </c>
      <c r="AQ30" s="152" t="str">
        <f t="shared" si="19"/>
        <v> / </v>
      </c>
      <c r="BD30" s="638" t="b">
        <v>1</v>
      </c>
      <c r="CU30"/>
      <c r="DA30"/>
    </row>
    <row r="31" spans="1:99" s="120" customFormat="1" ht="21" customHeight="1" hidden="1">
      <c r="A31" s="466">
        <v>26</v>
      </c>
      <c r="B31" s="479"/>
      <c r="C31" s="467"/>
      <c r="D31" s="477"/>
      <c r="E31" s="548"/>
      <c r="F31" s="467"/>
      <c r="G31" s="479"/>
      <c r="H31" s="467"/>
      <c r="I31" s="477"/>
      <c r="J31" s="548"/>
      <c r="K31" s="467"/>
      <c r="L31" s="547">
        <f t="shared" si="27"/>
        <v>0</v>
      </c>
      <c r="M31" s="477"/>
      <c r="N31" s="636"/>
      <c r="O31" s="336"/>
      <c r="P31" s="474">
        <f t="shared" si="20"/>
      </c>
      <c r="Q31" s="127">
        <f t="shared" si="1"/>
        <v>0</v>
      </c>
      <c r="R31" s="127">
        <f t="shared" si="2"/>
        <v>0</v>
      </c>
      <c r="S31" s="127">
        <f t="shared" si="21"/>
      </c>
      <c r="T31" s="127">
        <f t="shared" si="3"/>
        <v>0</v>
      </c>
      <c r="U31" s="127">
        <f t="shared" si="22"/>
      </c>
      <c r="V31" s="245">
        <f t="shared" si="4"/>
      </c>
      <c r="W31" s="127">
        <f t="shared" si="5"/>
      </c>
      <c r="X31" s="245">
        <f t="shared" si="23"/>
      </c>
      <c r="Y31" s="127">
        <f t="shared" si="6"/>
        <v>0</v>
      </c>
      <c r="Z31" s="127">
        <f t="shared" si="7"/>
        <v>0</v>
      </c>
      <c r="AA31" s="127">
        <f t="shared" si="8"/>
        <v>0</v>
      </c>
      <c r="AB31" s="128">
        <f t="shared" si="9"/>
      </c>
      <c r="AD31" s="127">
        <f t="shared" si="10"/>
        <v>0</v>
      </c>
      <c r="AE31" s="127">
        <f t="shared" si="11"/>
        <v>0</v>
      </c>
      <c r="AF31" s="127">
        <f t="shared" si="24"/>
      </c>
      <c r="AG31" s="127">
        <f t="shared" si="12"/>
        <v>0</v>
      </c>
      <c r="AH31" s="127">
        <f t="shared" si="25"/>
      </c>
      <c r="AI31" s="245">
        <f t="shared" si="13"/>
      </c>
      <c r="AJ31" s="127">
        <f t="shared" si="14"/>
      </c>
      <c r="AK31" s="245">
        <f t="shared" si="26"/>
      </c>
      <c r="AL31" s="128">
        <f t="shared" si="15"/>
      </c>
      <c r="AN31" s="127">
        <f t="shared" si="16"/>
        <v>0</v>
      </c>
      <c r="AO31" s="127">
        <f t="shared" si="17"/>
        <v>0</v>
      </c>
      <c r="AP31" s="127">
        <f t="shared" si="18"/>
        <v>0</v>
      </c>
      <c r="AQ31" s="152" t="str">
        <f t="shared" si="19"/>
        <v> / </v>
      </c>
      <c r="BD31" s="638" t="b">
        <v>1</v>
      </c>
      <c r="CU31"/>
    </row>
    <row r="32" spans="1:99" s="120" customFormat="1" ht="21" customHeight="1" hidden="1">
      <c r="A32" s="466">
        <v>27</v>
      </c>
      <c r="B32" s="479"/>
      <c r="C32" s="467"/>
      <c r="D32" s="477"/>
      <c r="E32" s="548"/>
      <c r="F32" s="467"/>
      <c r="G32" s="479"/>
      <c r="H32" s="467"/>
      <c r="I32" s="477"/>
      <c r="J32" s="548"/>
      <c r="K32" s="467"/>
      <c r="L32" s="547">
        <f t="shared" si="27"/>
        <v>0</v>
      </c>
      <c r="M32" s="477"/>
      <c r="N32" s="636"/>
      <c r="O32" s="336"/>
      <c r="P32" s="474">
        <f t="shared" si="20"/>
      </c>
      <c r="Q32" s="127">
        <f t="shared" si="1"/>
        <v>0</v>
      </c>
      <c r="R32" s="127">
        <f t="shared" si="2"/>
        <v>0</v>
      </c>
      <c r="S32" s="127">
        <f t="shared" si="21"/>
      </c>
      <c r="T32" s="127">
        <f t="shared" si="3"/>
        <v>0</v>
      </c>
      <c r="U32" s="127">
        <f t="shared" si="22"/>
      </c>
      <c r="V32" s="245">
        <f t="shared" si="4"/>
      </c>
      <c r="W32" s="127">
        <f t="shared" si="5"/>
      </c>
      <c r="X32" s="245">
        <f t="shared" si="23"/>
      </c>
      <c r="Y32" s="127">
        <f t="shared" si="6"/>
        <v>0</v>
      </c>
      <c r="Z32" s="127">
        <f t="shared" si="7"/>
        <v>0</v>
      </c>
      <c r="AA32" s="127">
        <f t="shared" si="8"/>
        <v>0</v>
      </c>
      <c r="AB32" s="128">
        <f t="shared" si="9"/>
      </c>
      <c r="AD32" s="127">
        <f t="shared" si="10"/>
        <v>0</v>
      </c>
      <c r="AE32" s="127">
        <f t="shared" si="11"/>
        <v>0</v>
      </c>
      <c r="AF32" s="127">
        <f t="shared" si="24"/>
      </c>
      <c r="AG32" s="127">
        <f t="shared" si="12"/>
        <v>0</v>
      </c>
      <c r="AH32" s="127">
        <f t="shared" si="25"/>
      </c>
      <c r="AI32" s="245">
        <f t="shared" si="13"/>
      </c>
      <c r="AJ32" s="127">
        <f t="shared" si="14"/>
      </c>
      <c r="AK32" s="245">
        <f t="shared" si="26"/>
      </c>
      <c r="AL32" s="128">
        <f t="shared" si="15"/>
      </c>
      <c r="AN32" s="127">
        <f t="shared" si="16"/>
        <v>0</v>
      </c>
      <c r="AO32" s="127">
        <f t="shared" si="17"/>
        <v>0</v>
      </c>
      <c r="AP32" s="127">
        <f t="shared" si="18"/>
        <v>0</v>
      </c>
      <c r="AQ32" s="152" t="str">
        <f t="shared" si="19"/>
        <v> / </v>
      </c>
      <c r="BD32" s="638" t="b">
        <v>1</v>
      </c>
      <c r="CU32"/>
    </row>
    <row r="33" spans="1:105" s="120" customFormat="1" ht="21" customHeight="1" hidden="1">
      <c r="A33" s="466">
        <v>28</v>
      </c>
      <c r="B33" s="479"/>
      <c r="C33" s="467"/>
      <c r="D33" s="477"/>
      <c r="E33" s="548"/>
      <c r="F33" s="467"/>
      <c r="G33" s="479"/>
      <c r="H33" s="467"/>
      <c r="I33" s="477"/>
      <c r="J33" s="548"/>
      <c r="K33" s="467"/>
      <c r="L33" s="547">
        <f t="shared" si="27"/>
        <v>0</v>
      </c>
      <c r="M33" s="477"/>
      <c r="N33" s="636"/>
      <c r="O33" s="336"/>
      <c r="P33" s="474">
        <f t="shared" si="20"/>
      </c>
      <c r="Q33" s="127">
        <f t="shared" si="1"/>
        <v>0</v>
      </c>
      <c r="R33" s="127">
        <f t="shared" si="2"/>
        <v>0</v>
      </c>
      <c r="S33" s="127">
        <f t="shared" si="21"/>
      </c>
      <c r="T33" s="127">
        <f t="shared" si="3"/>
        <v>0</v>
      </c>
      <c r="U33" s="127">
        <f t="shared" si="22"/>
      </c>
      <c r="V33" s="245">
        <f t="shared" si="4"/>
      </c>
      <c r="W33" s="127">
        <f t="shared" si="5"/>
      </c>
      <c r="X33" s="245">
        <f t="shared" si="23"/>
      </c>
      <c r="Y33" s="127">
        <f t="shared" si="6"/>
        <v>0</v>
      </c>
      <c r="Z33" s="127">
        <f t="shared" si="7"/>
        <v>0</v>
      </c>
      <c r="AA33" s="127">
        <f t="shared" si="8"/>
        <v>0</v>
      </c>
      <c r="AB33" s="128">
        <f t="shared" si="9"/>
      </c>
      <c r="AD33" s="127">
        <f t="shared" si="10"/>
        <v>0</v>
      </c>
      <c r="AE33" s="127">
        <f t="shared" si="11"/>
        <v>0</v>
      </c>
      <c r="AF33" s="127">
        <f t="shared" si="24"/>
      </c>
      <c r="AG33" s="127">
        <f t="shared" si="12"/>
        <v>0</v>
      </c>
      <c r="AH33" s="127">
        <f t="shared" si="25"/>
      </c>
      <c r="AI33" s="245">
        <f t="shared" si="13"/>
      </c>
      <c r="AJ33" s="127">
        <f t="shared" si="14"/>
      </c>
      <c r="AK33" s="245">
        <f t="shared" si="26"/>
      </c>
      <c r="AL33" s="128">
        <f t="shared" si="15"/>
      </c>
      <c r="AN33" s="127">
        <f t="shared" si="16"/>
        <v>0</v>
      </c>
      <c r="AO33" s="127">
        <f t="shared" si="17"/>
        <v>0</v>
      </c>
      <c r="AP33" s="127">
        <f t="shared" si="18"/>
        <v>0</v>
      </c>
      <c r="AQ33" s="152" t="str">
        <f t="shared" si="19"/>
        <v> / </v>
      </c>
      <c r="BD33" s="638" t="b">
        <v>1</v>
      </c>
      <c r="CU33"/>
      <c r="DA33"/>
    </row>
    <row r="34" spans="1:99" s="120" customFormat="1" ht="21" customHeight="1" hidden="1">
      <c r="A34" s="466">
        <v>29</v>
      </c>
      <c r="B34" s="479"/>
      <c r="C34" s="467"/>
      <c r="D34" s="477"/>
      <c r="E34" s="548"/>
      <c r="F34" s="467"/>
      <c r="G34" s="479"/>
      <c r="H34" s="467"/>
      <c r="I34" s="477"/>
      <c r="J34" s="548"/>
      <c r="K34" s="467"/>
      <c r="L34" s="547">
        <f t="shared" si="27"/>
        <v>0</v>
      </c>
      <c r="M34" s="477"/>
      <c r="N34" s="636"/>
      <c r="O34" s="336"/>
      <c r="P34" s="474">
        <f t="shared" si="20"/>
      </c>
      <c r="Q34" s="127">
        <f t="shared" si="1"/>
        <v>0</v>
      </c>
      <c r="R34" s="127">
        <f t="shared" si="2"/>
        <v>0</v>
      </c>
      <c r="S34" s="127">
        <f t="shared" si="21"/>
      </c>
      <c r="T34" s="127">
        <f t="shared" si="3"/>
        <v>0</v>
      </c>
      <c r="U34" s="127">
        <f t="shared" si="22"/>
      </c>
      <c r="V34" s="245">
        <f t="shared" si="4"/>
      </c>
      <c r="W34" s="127">
        <f t="shared" si="5"/>
      </c>
      <c r="X34" s="245">
        <f t="shared" si="23"/>
      </c>
      <c r="Y34" s="127">
        <f t="shared" si="6"/>
        <v>0</v>
      </c>
      <c r="Z34" s="127">
        <f t="shared" si="7"/>
        <v>0</v>
      </c>
      <c r="AA34" s="127">
        <f t="shared" si="8"/>
        <v>0</v>
      </c>
      <c r="AB34" s="128">
        <f t="shared" si="9"/>
      </c>
      <c r="AD34" s="127">
        <f t="shared" si="10"/>
        <v>0</v>
      </c>
      <c r="AE34" s="127">
        <f t="shared" si="11"/>
        <v>0</v>
      </c>
      <c r="AF34" s="127">
        <f t="shared" si="24"/>
      </c>
      <c r="AG34" s="127">
        <f t="shared" si="12"/>
        <v>0</v>
      </c>
      <c r="AH34" s="127">
        <f t="shared" si="25"/>
      </c>
      <c r="AI34" s="245">
        <f t="shared" si="13"/>
      </c>
      <c r="AJ34" s="127">
        <f t="shared" si="14"/>
      </c>
      <c r="AK34" s="245">
        <f t="shared" si="26"/>
      </c>
      <c r="AL34" s="128">
        <f t="shared" si="15"/>
      </c>
      <c r="AN34" s="127">
        <f t="shared" si="16"/>
        <v>0</v>
      </c>
      <c r="AO34" s="127">
        <f t="shared" si="17"/>
        <v>0</v>
      </c>
      <c r="AP34" s="127">
        <f t="shared" si="18"/>
        <v>0</v>
      </c>
      <c r="AQ34" s="152" t="str">
        <f t="shared" si="19"/>
        <v> / </v>
      </c>
      <c r="BD34" s="638" t="b">
        <v>1</v>
      </c>
      <c r="CU34"/>
    </row>
    <row r="35" spans="1:105" s="120" customFormat="1" ht="21" customHeight="1" hidden="1">
      <c r="A35" s="466">
        <v>30</v>
      </c>
      <c r="B35" s="479"/>
      <c r="C35" s="467"/>
      <c r="D35" s="477"/>
      <c r="E35" s="548"/>
      <c r="F35" s="467"/>
      <c r="G35" s="479"/>
      <c r="H35" s="467"/>
      <c r="I35" s="477"/>
      <c r="J35" s="548"/>
      <c r="K35" s="467"/>
      <c r="L35" s="547">
        <f t="shared" si="27"/>
        <v>0</v>
      </c>
      <c r="M35" s="477"/>
      <c r="N35" s="636"/>
      <c r="O35" s="336"/>
      <c r="P35" s="474">
        <f t="shared" si="20"/>
      </c>
      <c r="Q35" s="127">
        <f>LEN(C35)</f>
        <v>0</v>
      </c>
      <c r="R35" s="127">
        <f t="shared" si="2"/>
        <v>0</v>
      </c>
      <c r="S35" s="127">
        <f t="shared" si="21"/>
      </c>
      <c r="T35" s="127">
        <f t="shared" si="3"/>
        <v>0</v>
      </c>
      <c r="U35" s="127">
        <f t="shared" si="22"/>
      </c>
      <c r="V35" s="245">
        <f t="shared" si="4"/>
      </c>
      <c r="W35" s="127">
        <f t="shared" si="5"/>
      </c>
      <c r="X35" s="245">
        <f t="shared" si="23"/>
      </c>
      <c r="Y35" s="127">
        <f t="shared" si="6"/>
        <v>0</v>
      </c>
      <c r="Z35" s="127">
        <f t="shared" si="7"/>
        <v>0</v>
      </c>
      <c r="AA35" s="127">
        <f t="shared" si="8"/>
        <v>0</v>
      </c>
      <c r="AB35" s="128">
        <f t="shared" si="9"/>
      </c>
      <c r="AD35" s="127">
        <f t="shared" si="10"/>
        <v>0</v>
      </c>
      <c r="AE35" s="127">
        <f t="shared" si="11"/>
        <v>0</v>
      </c>
      <c r="AF35" s="127">
        <f t="shared" si="24"/>
      </c>
      <c r="AG35" s="127">
        <f t="shared" si="12"/>
        <v>0</v>
      </c>
      <c r="AH35" s="127">
        <f t="shared" si="25"/>
      </c>
      <c r="AI35" s="245">
        <f t="shared" si="13"/>
      </c>
      <c r="AJ35" s="127">
        <f t="shared" si="14"/>
      </c>
      <c r="AK35" s="245">
        <f t="shared" si="26"/>
      </c>
      <c r="AL35" s="128">
        <f t="shared" si="15"/>
      </c>
      <c r="AN35" s="127">
        <f t="shared" si="16"/>
        <v>0</v>
      </c>
      <c r="AO35" s="127">
        <f t="shared" si="17"/>
        <v>0</v>
      </c>
      <c r="AP35" s="127">
        <f t="shared" si="18"/>
        <v>0</v>
      </c>
      <c r="AQ35" s="152" t="str">
        <f t="shared" si="19"/>
        <v> / </v>
      </c>
      <c r="BD35" s="638" t="b">
        <v>1</v>
      </c>
      <c r="CU35"/>
      <c r="DA35"/>
    </row>
    <row r="36" spans="1:99" s="120" customFormat="1" ht="21" customHeight="1" hidden="1">
      <c r="A36" s="466">
        <v>31</v>
      </c>
      <c r="B36" s="478"/>
      <c r="C36" s="467"/>
      <c r="D36" s="477"/>
      <c r="E36" s="548"/>
      <c r="F36" s="467"/>
      <c r="G36" s="478"/>
      <c r="H36" s="467"/>
      <c r="I36" s="477"/>
      <c r="J36" s="548"/>
      <c r="K36" s="467"/>
      <c r="L36" s="547">
        <f t="shared" si="27"/>
        <v>0</v>
      </c>
      <c r="M36" s="477"/>
      <c r="N36" s="636"/>
      <c r="O36" s="336"/>
      <c r="P36" s="474">
        <f t="shared" si="20"/>
      </c>
      <c r="Q36" s="127">
        <f t="shared" si="1"/>
        <v>0</v>
      </c>
      <c r="R36" s="127">
        <f t="shared" si="2"/>
        <v>0</v>
      </c>
      <c r="S36" s="127">
        <f t="shared" si="21"/>
      </c>
      <c r="T36" s="127">
        <f t="shared" si="3"/>
        <v>0</v>
      </c>
      <c r="U36" s="127">
        <f t="shared" si="22"/>
      </c>
      <c r="V36" s="245">
        <f t="shared" si="4"/>
      </c>
      <c r="W36" s="127">
        <f t="shared" si="5"/>
      </c>
      <c r="X36" s="245">
        <f t="shared" si="23"/>
      </c>
      <c r="Y36" s="127">
        <f t="shared" si="6"/>
        <v>0</v>
      </c>
      <c r="Z36" s="127">
        <f t="shared" si="7"/>
        <v>0</v>
      </c>
      <c r="AA36" s="127">
        <f t="shared" si="8"/>
        <v>0</v>
      </c>
      <c r="AB36" s="128">
        <f t="shared" si="9"/>
      </c>
      <c r="AD36" s="127">
        <f t="shared" si="10"/>
        <v>0</v>
      </c>
      <c r="AE36" s="127">
        <f t="shared" si="11"/>
        <v>0</v>
      </c>
      <c r="AF36" s="127">
        <f t="shared" si="24"/>
      </c>
      <c r="AG36" s="127">
        <f t="shared" si="12"/>
        <v>0</v>
      </c>
      <c r="AH36" s="127">
        <f t="shared" si="25"/>
      </c>
      <c r="AI36" s="245">
        <f t="shared" si="13"/>
      </c>
      <c r="AJ36" s="127">
        <f t="shared" si="14"/>
      </c>
      <c r="AK36" s="245">
        <f t="shared" si="26"/>
      </c>
      <c r="AL36" s="128">
        <f t="shared" si="15"/>
      </c>
      <c r="AN36" s="127">
        <f t="shared" si="16"/>
        <v>0</v>
      </c>
      <c r="AO36" s="127">
        <f t="shared" si="17"/>
        <v>0</v>
      </c>
      <c r="AP36" s="127">
        <f t="shared" si="18"/>
        <v>0</v>
      </c>
      <c r="AQ36" s="152" t="str">
        <f t="shared" si="19"/>
        <v> / </v>
      </c>
      <c r="BD36" s="638" t="b">
        <v>1</v>
      </c>
      <c r="CU36"/>
    </row>
    <row r="37" spans="1:99" s="120" customFormat="1" ht="21" customHeight="1" hidden="1">
      <c r="A37" s="466">
        <v>32</v>
      </c>
      <c r="B37" s="479"/>
      <c r="C37" s="467"/>
      <c r="D37" s="477"/>
      <c r="E37" s="548"/>
      <c r="F37" s="467"/>
      <c r="G37" s="479"/>
      <c r="H37" s="467"/>
      <c r="I37" s="477"/>
      <c r="J37" s="548"/>
      <c r="K37" s="467"/>
      <c r="L37" s="547">
        <f t="shared" si="27"/>
        <v>0</v>
      </c>
      <c r="M37" s="477"/>
      <c r="N37" s="636"/>
      <c r="O37" s="336"/>
      <c r="P37" s="474">
        <f t="shared" si="20"/>
      </c>
      <c r="Q37" s="127">
        <f t="shared" si="1"/>
        <v>0</v>
      </c>
      <c r="R37" s="127">
        <f t="shared" si="2"/>
        <v>0</v>
      </c>
      <c r="S37" s="127">
        <f t="shared" si="21"/>
      </c>
      <c r="T37" s="127">
        <f t="shared" si="3"/>
        <v>0</v>
      </c>
      <c r="U37" s="127">
        <f t="shared" si="22"/>
      </c>
      <c r="V37" s="245">
        <f t="shared" si="4"/>
      </c>
      <c r="W37" s="127">
        <f t="shared" si="5"/>
      </c>
      <c r="X37" s="245">
        <f t="shared" si="23"/>
      </c>
      <c r="Y37" s="127">
        <f t="shared" si="6"/>
        <v>0</v>
      </c>
      <c r="Z37" s="127">
        <f t="shared" si="7"/>
        <v>0</v>
      </c>
      <c r="AA37" s="127">
        <f t="shared" si="8"/>
        <v>0</v>
      </c>
      <c r="AB37" s="128">
        <f t="shared" si="9"/>
      </c>
      <c r="AD37" s="127">
        <f t="shared" si="10"/>
        <v>0</v>
      </c>
      <c r="AE37" s="127">
        <f t="shared" si="11"/>
        <v>0</v>
      </c>
      <c r="AF37" s="127">
        <f t="shared" si="24"/>
      </c>
      <c r="AG37" s="127">
        <f t="shared" si="12"/>
        <v>0</v>
      </c>
      <c r="AH37" s="127">
        <f t="shared" si="25"/>
      </c>
      <c r="AI37" s="245">
        <f t="shared" si="13"/>
      </c>
      <c r="AJ37" s="127">
        <f t="shared" si="14"/>
      </c>
      <c r="AK37" s="245">
        <f t="shared" si="26"/>
      </c>
      <c r="AL37" s="128">
        <f t="shared" si="15"/>
      </c>
      <c r="AN37" s="127">
        <f t="shared" si="16"/>
        <v>0</v>
      </c>
      <c r="AO37" s="127">
        <f t="shared" si="17"/>
        <v>0</v>
      </c>
      <c r="AP37" s="127">
        <f t="shared" si="18"/>
        <v>0</v>
      </c>
      <c r="AQ37" s="152" t="str">
        <f t="shared" si="19"/>
        <v> / </v>
      </c>
      <c r="BD37" s="638" t="b">
        <v>1</v>
      </c>
      <c r="CU37"/>
    </row>
    <row r="38" spans="3:16" ht="12.75">
      <c r="C38" s="344"/>
      <c r="D38" s="344"/>
      <c r="E38" s="344"/>
      <c r="G38" s="122"/>
      <c r="H38" s="344"/>
      <c r="I38" s="344"/>
      <c r="J38" s="344"/>
      <c r="K38" s="122"/>
      <c r="L38" s="469"/>
      <c r="M38" s="283"/>
      <c r="N38" s="632">
        <v>0</v>
      </c>
      <c r="P38" s="475"/>
    </row>
    <row r="39" spans="3:16" ht="12.75">
      <c r="C39" s="344"/>
      <c r="D39" s="344"/>
      <c r="E39" s="344"/>
      <c r="H39" s="344"/>
      <c r="I39" s="344"/>
      <c r="J39" s="344"/>
      <c r="N39" s="632">
        <v>0</v>
      </c>
      <c r="P39" s="475"/>
    </row>
    <row r="40" spans="3:16" ht="12.75">
      <c r="C40" s="344"/>
      <c r="D40" s="344"/>
      <c r="E40" s="344"/>
      <c r="H40" s="344"/>
      <c r="I40" s="344"/>
      <c r="J40" s="344"/>
      <c r="N40" s="632">
        <v>0</v>
      </c>
      <c r="P40" s="475"/>
    </row>
    <row r="41" spans="3:16" ht="12.75">
      <c r="C41" s="344"/>
      <c r="D41" s="344"/>
      <c r="E41" s="344"/>
      <c r="H41" s="344"/>
      <c r="I41" s="344"/>
      <c r="J41" s="344"/>
      <c r="N41" s="632">
        <v>0</v>
      </c>
      <c r="P41" s="475"/>
    </row>
    <row r="42" spans="3:16" ht="12.75">
      <c r="C42" s="344"/>
      <c r="D42" s="344"/>
      <c r="E42" s="344"/>
      <c r="H42" s="344"/>
      <c r="I42" s="344"/>
      <c r="J42" s="344"/>
      <c r="N42" s="632">
        <v>0</v>
      </c>
      <c r="P42" s="475"/>
    </row>
    <row r="43" spans="3:16" ht="12.75">
      <c r="C43" s="344"/>
      <c r="D43" s="344"/>
      <c r="E43" s="344"/>
      <c r="H43" s="344"/>
      <c r="I43" s="344"/>
      <c r="J43" s="344"/>
      <c r="N43" s="632">
        <v>0</v>
      </c>
      <c r="P43" s="475"/>
    </row>
    <row r="44" spans="3:16" ht="12.75">
      <c r="C44" s="344"/>
      <c r="D44" s="344"/>
      <c r="E44" s="344"/>
      <c r="H44" s="344"/>
      <c r="I44" s="344"/>
      <c r="J44" s="344"/>
      <c r="N44" s="632">
        <v>0</v>
      </c>
      <c r="P44" s="475"/>
    </row>
    <row r="45" spans="3:16" ht="12.75">
      <c r="C45" s="344"/>
      <c r="D45" s="344"/>
      <c r="E45" s="344"/>
      <c r="H45" s="344"/>
      <c r="I45" s="344"/>
      <c r="J45" s="344"/>
      <c r="N45" s="632">
        <v>0</v>
      </c>
      <c r="P45" s="475"/>
    </row>
    <row r="46" spans="3:16" ht="12.75">
      <c r="C46" s="344"/>
      <c r="D46" s="344"/>
      <c r="E46" s="344"/>
      <c r="H46" s="344"/>
      <c r="I46" s="344"/>
      <c r="J46" s="344"/>
      <c r="P46" s="475"/>
    </row>
    <row r="47" spans="3:16" ht="12.75">
      <c r="C47" s="344"/>
      <c r="D47" s="344"/>
      <c r="E47" s="344"/>
      <c r="H47" s="344"/>
      <c r="I47" s="344"/>
      <c r="J47" s="344"/>
      <c r="P47" s="475"/>
    </row>
    <row r="48" spans="3:16" ht="12.75">
      <c r="C48" s="344"/>
      <c r="D48" s="344"/>
      <c r="E48" s="344"/>
      <c r="H48" s="344"/>
      <c r="I48" s="344"/>
      <c r="J48" s="344"/>
      <c r="P48" s="475"/>
    </row>
    <row r="49" spans="3:16" ht="12.75">
      <c r="C49" s="344"/>
      <c r="D49" s="344"/>
      <c r="E49" s="344"/>
      <c r="H49" s="344"/>
      <c r="I49" s="344"/>
      <c r="J49" s="344"/>
      <c r="P49" s="475"/>
    </row>
    <row r="50" spans="1:38" s="123" customFormat="1" ht="12.75" hidden="1">
      <c r="A50" s="123">
        <f>IF(C50&lt;=8,2,IF(C50&lt;=16,4,8))</f>
        <v>2</v>
      </c>
      <c r="B50" s="124"/>
      <c r="C50" s="345">
        <f>32-COUNTIF(C6:C37,"")</f>
        <v>6</v>
      </c>
      <c r="D50" s="345"/>
      <c r="E50" s="345"/>
      <c r="F50" s="124"/>
      <c r="G50" s="124"/>
      <c r="H50" s="345"/>
      <c r="I50" s="345"/>
      <c r="J50" s="345"/>
      <c r="K50" s="124"/>
      <c r="L50" s="471"/>
      <c r="M50" s="124"/>
      <c r="N50" s="632"/>
      <c r="O50" s="124"/>
      <c r="P50" s="475"/>
      <c r="V50" s="125"/>
      <c r="X50" s="125"/>
      <c r="AB50" s="125">
        <f>30-COUNTIF(AB6:AB37,"")</f>
        <v>4</v>
      </c>
      <c r="AI50" s="125"/>
      <c r="AK50" s="125"/>
      <c r="AL50" s="125"/>
    </row>
    <row r="51" spans="3:16" ht="12.75">
      <c r="C51" s="344"/>
      <c r="D51" s="344"/>
      <c r="E51" s="344"/>
      <c r="H51" s="344"/>
      <c r="I51" s="344"/>
      <c r="J51" s="344"/>
      <c r="P51" s="475"/>
    </row>
    <row r="52" spans="3:10" ht="12.75">
      <c r="C52" s="344"/>
      <c r="D52" s="344"/>
      <c r="E52" s="344"/>
      <c r="I52" s="344"/>
      <c r="J52" s="344"/>
    </row>
    <row r="53" ht="12.75">
      <c r="P53" s="476"/>
    </row>
    <row r="100" ht="12.75" hidden="1"/>
  </sheetData>
  <sheetProtection sheet="1" objects="1" scenarios="1" selectLockedCells="1"/>
  <mergeCells count="4">
    <mergeCell ref="AR4:AU4"/>
    <mergeCell ref="Q4:AB4"/>
    <mergeCell ref="A1:M1"/>
    <mergeCell ref="A2:M2"/>
  </mergeCells>
  <conditionalFormatting sqref="A6:A7">
    <cfRule type="expression" priority="1" dxfId="205" stopIfTrue="1">
      <formula>$B6&gt;0</formula>
    </cfRule>
  </conditionalFormatting>
  <conditionalFormatting sqref="A8:A9">
    <cfRule type="expression" priority="2" dxfId="205" stopIfTrue="1">
      <formula>AND($C$50&gt;8,$B8&gt;0)</formula>
    </cfRule>
  </conditionalFormatting>
  <conditionalFormatting sqref="A10:A37">
    <cfRule type="expression" priority="3" dxfId="205" stopIfTrue="1">
      <formula>AND($C$50&gt;16,$B10&gt;0)</formula>
    </cfRule>
  </conditionalFormatting>
  <conditionalFormatting sqref="M6:M37 C6:F37 H6:K37">
    <cfRule type="expression" priority="4" dxfId="187" stopIfTrue="1">
      <formula>AND($N6="",$C6&lt;&gt;"")</formula>
    </cfRule>
  </conditionalFormatting>
  <conditionalFormatting sqref="AN6:AP37 Q6:AA37 AD6:AK37">
    <cfRule type="expression" priority="5" dxfId="186" stopIfTrue="1">
      <formula>Q6&gt;#REF!</formula>
    </cfRule>
  </conditionalFormatting>
  <conditionalFormatting sqref="L6:L37">
    <cfRule type="expression" priority="6" dxfId="206" stopIfTrue="1">
      <formula>AND($L6&lt;&gt;0,COUNTIF($L$6:$L$37,$L6)&gt;1)</formula>
    </cfRule>
  </conditionalFormatting>
  <printOptions horizontalCentered="1"/>
  <pageMargins left="0.15" right="0.15748031496062992" top="0.17" bottom="0.14" header="0.14" footer="0.14"/>
  <pageSetup fitToHeight="1" fitToWidth="1" horizontalDpi="600" verticalDpi="600" orientation="landscape"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Лист19">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6" t="s">
        <v>77</v>
      </c>
      <c r="C1" s="836"/>
      <c r="D1" s="836"/>
      <c r="E1" s="836"/>
      <c r="F1" s="836"/>
      <c r="G1" s="836"/>
      <c r="H1" s="836"/>
      <c r="I1" s="836"/>
      <c r="J1" s="836"/>
      <c r="K1" s="836"/>
      <c r="L1" s="836"/>
      <c r="M1" s="836"/>
      <c r="N1" s="836"/>
      <c r="O1" s="836"/>
      <c r="P1" s="836"/>
      <c r="Q1" s="836"/>
      <c r="R1" s="2"/>
      <c r="AA1" s="620" t="b">
        <v>0</v>
      </c>
    </row>
    <row r="2" spans="1:18"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837"/>
      <c r="R2" s="5"/>
    </row>
    <row r="3" spans="2:18" s="6" customFormat="1" ht="8.25" customHeight="1">
      <c r="B3" s="838" t="s">
        <v>0</v>
      </c>
      <c r="C3" s="838"/>
      <c r="D3" s="838"/>
      <c r="E3" s="838"/>
      <c r="F3" s="838"/>
      <c r="G3" s="838"/>
      <c r="H3" s="838"/>
      <c r="I3" s="838"/>
      <c r="J3" s="838"/>
      <c r="K3" s="838"/>
      <c r="L3" s="838"/>
      <c r="M3" s="838"/>
      <c r="N3" s="838"/>
      <c r="O3" s="838"/>
      <c r="P3" s="838"/>
      <c r="Q3" s="838"/>
      <c r="R3" s="7"/>
    </row>
    <row r="4" spans="2:18" ht="11.25" customHeight="1">
      <c r="B4" s="808" t="s">
        <v>173</v>
      </c>
      <c r="C4" s="839"/>
      <c r="D4" s="839"/>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13 ЛЕТ</v>
      </c>
      <c r="M5" s="811"/>
      <c r="N5" s="811"/>
      <c r="O5" s="811"/>
      <c r="P5" s="13"/>
      <c r="Q5" s="809" t="str">
        <f>IF(Установка!$C$5="","Ю/Д/М/Ж/СМ",UPPER(Установка!$C$5))</f>
        <v>ДЕВУШКИ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808" t="s">
        <v>20</v>
      </c>
      <c r="G8" s="808"/>
      <c r="H8" s="808"/>
      <c r="I8" s="808" t="s">
        <v>4</v>
      </c>
      <c r="J8" s="808"/>
      <c r="K8" s="808"/>
      <c r="L8" s="808" t="s">
        <v>5</v>
      </c>
      <c r="M8" s="808"/>
      <c r="N8" s="808"/>
      <c r="O8" s="808" t="s">
        <v>6</v>
      </c>
      <c r="P8" s="808"/>
      <c r="Q8" s="808"/>
      <c r="R8" s="113" t="s">
        <v>7</v>
      </c>
    </row>
    <row r="9" spans="1:18" ht="6" customHeight="1">
      <c r="A9" s="821" t="s">
        <v>8</v>
      </c>
      <c r="B9" s="823" t="s">
        <v>9</v>
      </c>
      <c r="C9" s="812">
        <f>MAX(C12:C105)+1</f>
        <v>3</v>
      </c>
      <c r="D9" s="801" t="s">
        <v>10</v>
      </c>
      <c r="E9" s="803" t="s">
        <v>11</v>
      </c>
      <c r="F9" s="803" t="s">
        <v>12</v>
      </c>
      <c r="G9" s="35"/>
      <c r="H9" s="36"/>
      <c r="I9" s="8"/>
      <c r="J9" s="37"/>
      <c r="K9" s="8"/>
      <c r="L9" s="8"/>
      <c r="M9" s="38"/>
      <c r="N9" s="38"/>
      <c r="O9" s="38"/>
      <c r="P9" s="38"/>
      <c r="Q9" s="39"/>
      <c r="R9" s="38"/>
    </row>
    <row r="10" spans="1:18" ht="9.75" customHeight="1">
      <c r="A10" s="822"/>
      <c r="B10" s="824"/>
      <c r="C10" s="812"/>
      <c r="D10" s="801"/>
      <c r="E10" s="803"/>
      <c r="F10" s="803"/>
      <c r="G10" s="40"/>
      <c r="H10" s="41"/>
      <c r="I10" s="42"/>
      <c r="J10" s="43"/>
      <c r="K10" s="43"/>
      <c r="L10" s="43"/>
      <c r="M10" s="44"/>
      <c r="N10" s="45"/>
      <c r="O10" s="46"/>
      <c r="P10" s="44"/>
      <c r="Q10" s="45"/>
      <c r="R10" s="815"/>
    </row>
    <row r="11" spans="1:18" s="53" customFormat="1" ht="9.75" customHeight="1" thickBot="1">
      <c r="A11" s="822"/>
      <c r="B11" s="824"/>
      <c r="C11" s="813"/>
      <c r="D11" s="802"/>
      <c r="E11" s="804"/>
      <c r="F11" s="804"/>
      <c r="G11" s="112"/>
      <c r="H11" s="47"/>
      <c r="I11" s="48"/>
      <c r="J11" s="49"/>
      <c r="K11" s="49"/>
      <c r="L11" s="49"/>
      <c r="M11" s="50"/>
      <c r="N11" s="51"/>
      <c r="O11" s="52"/>
      <c r="P11" s="50"/>
      <c r="Q11" s="51"/>
      <c r="R11" s="816"/>
    </row>
    <row r="12" spans="1:18" s="53" customFormat="1" ht="9" customHeight="1">
      <c r="A12" s="758" t="str">
        <f>IF($C12="","1",IF(AND($C12&gt;=1,$C12&lt;33),INDEX(ПодгПар!$P$6:$P$37,$C12),""))</f>
        <v>1 </v>
      </c>
      <c r="B12" s="759">
        <v>1</v>
      </c>
      <c r="C12" s="796">
        <v>1</v>
      </c>
      <c r="D12" s="178" t="str">
        <f>IF($C12="","",IF(AND($C12&gt;=1,$C12&lt;33),INDEX(ПодгПар!$AB$6:$AB$37,$C12,1),"Х"))</f>
        <v>МАТВЕЕВА</v>
      </c>
      <c r="E12" s="179" t="str">
        <f>IF($C12="","",IF(AND($C12&gt;=1,$C12&lt;33),INDEX(ПодгПар!$W$6:$W$37,$C12,1),""))</f>
        <v>Е.О.</v>
      </c>
      <c r="F12" s="180" t="str">
        <f>IF($C12="","",IF(AND($C12&gt;=1,$C12&lt;33),INDEX(ПодгПар!$F$6:$F$37,$C12,1),""))</f>
        <v>Уфа</v>
      </c>
      <c r="G12" s="763" t="str">
        <f>IF(G14=0,CONCATENATE("поб.",D12,",",D13),IF(G14=1,D12,IF(G14=2,D14,"Х")))</f>
        <v>поб.МАТВЕЕВА,ХАБАРОВА</v>
      </c>
      <c r="H12" s="764"/>
      <c r="I12" s="764"/>
      <c r="J12" s="209"/>
      <c r="K12" s="210"/>
      <c r="L12" s="210"/>
      <c r="M12" s="223"/>
      <c r="N12" s="223"/>
      <c r="O12" s="223"/>
      <c r="P12" s="57"/>
      <c r="Q12" s="56"/>
      <c r="R12" s="56"/>
    </row>
    <row r="13" spans="1:19" s="9" customFormat="1" ht="9" customHeight="1">
      <c r="A13" s="730"/>
      <c r="B13" s="760"/>
      <c r="C13" s="797"/>
      <c r="D13" s="181" t="str">
        <f>IF($C12="","",IF(AND($C12&gt;=1,$C12&lt;33),INDEX(ПодгПар!$AL$6:$AL$37,$C12,1),"Х"))</f>
        <v>ХАБАРОВА</v>
      </c>
      <c r="E13" s="182" t="str">
        <f>IF($C12="","",IF(AND($C12&gt;=1,$C12&lt;33),INDEX(ПодгПар!$AJ$6:$AJ$37,$C12,1),""))</f>
        <v>А.О.</v>
      </c>
      <c r="F13" s="183" t="str">
        <f>IF($C12="","",IF(AND($C12&gt;=1,$C12&lt;33),INDEX(ПодгПар!$K$6:$K$37,$C12,1),""))</f>
        <v>Уфа</v>
      </c>
      <c r="G13" s="766" t="str">
        <f>IF(G14=0,CONCATENATE(D14,",",D15),IF(G14=1,D13,IF(G14=2,D15,"Х")))</f>
        <v>,</v>
      </c>
      <c r="H13" s="767"/>
      <c r="I13" s="767"/>
      <c r="J13" s="211"/>
      <c r="K13" s="212"/>
      <c r="L13" s="212"/>
      <c r="M13" s="224"/>
      <c r="N13" s="202"/>
      <c r="O13" s="202"/>
      <c r="P13" s="60"/>
      <c r="Q13" s="61"/>
      <c r="R13" s="61"/>
      <c r="S13" s="62"/>
    </row>
    <row r="14" spans="1:19" s="9" customFormat="1" ht="9" customHeight="1">
      <c r="A14" s="729">
        <f>IF($C14="","",IF(AND($C14&gt;=1,$C14&lt;33),INDEX(ПодгПар!$P$6:$P$37,$C14),""))</f>
      </c>
      <c r="B14" s="769">
        <v>2</v>
      </c>
      <c r="C14" s="788"/>
      <c r="D14" s="184">
        <f>IF($C14="","",IF(AND($C14&gt;=1,$C14&lt;33),INDEX(ПодгПар!$AB$6:$AB$37,$C14,1),"Х"))</f>
      </c>
      <c r="E14" s="185">
        <f>IF($C14="","",IF(AND($C14&gt;=1,$C14&lt;33),INDEX(ПодгПар!$W$6:$W$37,$C14,1),""))</f>
      </c>
      <c r="F14" s="186">
        <f>IF($C14="","",IF(AND($C14&gt;=1,$C14&lt;33),INDEX(ПодгПар!$F$6:$F$37,$C14,1),""))</f>
      </c>
      <c r="G14" s="196"/>
      <c r="H14" s="773"/>
      <c r="I14" s="790"/>
      <c r="J14" s="213"/>
      <c r="K14" s="212"/>
      <c r="L14" s="212"/>
      <c r="M14" s="224"/>
      <c r="N14" s="202"/>
      <c r="O14" s="202"/>
      <c r="P14" s="60"/>
      <c r="Q14" s="61"/>
      <c r="R14" s="61"/>
      <c r="S14" s="62"/>
    </row>
    <row r="15" spans="1:19" s="9" customFormat="1" ht="9" customHeight="1" thickBot="1">
      <c r="A15" s="748"/>
      <c r="B15" s="770"/>
      <c r="C15" s="789"/>
      <c r="D15" s="187">
        <f>IF($C14="","",IF(AND($C14&gt;=1,$C14&lt;33),INDEX(ПодгПар!$AL$6:$AL$37,$C14,1),"Х"))</f>
      </c>
      <c r="E15" s="188">
        <f>IF($C14="","",IF(AND($C14&gt;=1,$C14&lt;33),INDEX(ПодгПар!$AJ$6:$AJ$37,$C14,1),""))</f>
      </c>
      <c r="F15" s="189">
        <f>IF($C14="","",IF(AND($C14&gt;=1,$C14&lt;33),INDEX(ПодгПар!$K$6:$K$37,$C14,1),""))</f>
      </c>
      <c r="G15" s="197"/>
      <c r="H15" s="198"/>
      <c r="I15" s="199"/>
      <c r="J15" s="774" t="str">
        <f>IF(J17=0,CONCATENATE("поб.",G12,",",G13),IF(J17=1,G12,IF(J17=2,G18,"Х")))</f>
        <v>поб.поб.МАТВЕЕВА,ХАБАРОВА,,</v>
      </c>
      <c r="K15" s="775"/>
      <c r="L15" s="775"/>
      <c r="M15" s="225"/>
      <c r="N15" s="202"/>
      <c r="O15" s="202"/>
      <c r="P15" s="60"/>
      <c r="Q15" s="61"/>
      <c r="R15" s="61"/>
      <c r="S15" s="62"/>
    </row>
    <row r="16" spans="1:19" s="9" customFormat="1" ht="9" customHeight="1">
      <c r="A16" s="776"/>
      <c r="B16" s="778"/>
      <c r="C16" s="780"/>
      <c r="D16" s="782"/>
      <c r="E16" s="190"/>
      <c r="F16" s="782"/>
      <c r="G16" s="200"/>
      <c r="H16" s="198"/>
      <c r="I16" s="199"/>
      <c r="J16" s="784" t="str">
        <f>IF(J17=0,CONCATENATE(G18,",",G19),IF(J17=1,G13,IF(J17=2,G19,"Х")))</f>
        <v>поб.,,,</v>
      </c>
      <c r="K16" s="785"/>
      <c r="L16" s="785"/>
      <c r="M16" s="225"/>
      <c r="N16" s="202"/>
      <c r="O16" s="202"/>
      <c r="P16" s="60"/>
      <c r="Q16" s="61"/>
      <c r="R16" s="61"/>
      <c r="S16" s="62"/>
    </row>
    <row r="17" spans="1:19" s="9" customFormat="1" ht="9" customHeight="1" thickBot="1">
      <c r="A17" s="777"/>
      <c r="B17" s="779"/>
      <c r="C17" s="781"/>
      <c r="D17" s="783"/>
      <c r="E17" s="191"/>
      <c r="F17" s="783"/>
      <c r="G17" s="200"/>
      <c r="H17" s="198"/>
      <c r="I17" s="199"/>
      <c r="J17" s="214"/>
      <c r="K17" s="795"/>
      <c r="L17" s="795"/>
      <c r="M17" s="226"/>
      <c r="N17" s="202"/>
      <c r="O17" s="202"/>
      <c r="P17" s="224"/>
      <c r="Q17" s="202"/>
      <c r="R17" s="202"/>
      <c r="S17" s="62"/>
    </row>
    <row r="18" spans="1:19" s="9" customFormat="1" ht="9" customHeight="1">
      <c r="A18" s="758">
        <f>IF($C18="","",IF(AND($C18&gt;=1,$C18&lt;33),INDEX(ПодгПар!$P$6:$P$37,$C18),""))</f>
      </c>
      <c r="B18" s="759">
        <v>3</v>
      </c>
      <c r="C18" s="761"/>
      <c r="D18" s="178">
        <f>IF($C18="","",IF(AND($C18&gt;=1,$C18&lt;33),INDEX(ПодгПар!$AB$6:$AB$37,$C18,1),"Х"))</f>
      </c>
      <c r="E18" s="179">
        <f>IF($C18="","",IF(AND($C18&gt;=1,$C18&lt;33),INDEX(ПодгПар!$W$6:$W$37,$C18,1),""))</f>
      </c>
      <c r="F18" s="180">
        <f>IF($C18="","",IF(AND($C18&gt;=1,$C18&lt;33),INDEX(ПодгПар!$F$6:$F$37,$C18,1),""))</f>
      </c>
      <c r="G18" s="763" t="str">
        <f>IF(G20=0,CONCATENATE("поб.",D18,",",D19),IF(G20=1,D18,IF(G20=2,D20,"Х")))</f>
        <v>поб.,</v>
      </c>
      <c r="H18" s="764"/>
      <c r="I18" s="765"/>
      <c r="J18" s="211"/>
      <c r="K18" s="215"/>
      <c r="L18" s="215"/>
      <c r="M18" s="226"/>
      <c r="N18" s="202"/>
      <c r="O18" s="202"/>
      <c r="P18" s="224"/>
      <c r="Q18" s="202"/>
      <c r="R18" s="202"/>
      <c r="S18" s="62"/>
    </row>
    <row r="19" spans="1:19" s="9" customFormat="1" ht="9" customHeight="1">
      <c r="A19" s="730"/>
      <c r="B19" s="760"/>
      <c r="C19" s="762"/>
      <c r="D19" s="181">
        <f>IF($C18="","",IF(AND($C18&gt;=1,$C18&lt;33),INDEX(ПодгПар!$AL$6:$AL$37,$C18,1),"Х"))</f>
      </c>
      <c r="E19" s="182">
        <f>IF($C18="","",IF(AND($C18&gt;=1,$C18&lt;33),INDEX(ПодгПар!$AJ$6:$AJ$37,$C18,1),""))</f>
      </c>
      <c r="F19" s="183">
        <f>IF($C18="","",IF(AND($C18&gt;=1,$C18&lt;33),INDEX(ПодгПар!$K$6:$K$37,$C18,1),""))</f>
      </c>
      <c r="G19" s="766" t="str">
        <f>IF(G20=0,CONCATENATE(D20,",",D21),IF(G20=1,D19,IF(G20=2,D21,"Х")))</f>
        <v>,</v>
      </c>
      <c r="H19" s="767"/>
      <c r="I19" s="768"/>
      <c r="J19" s="211"/>
      <c r="K19" s="212"/>
      <c r="L19" s="212"/>
      <c r="M19" s="227"/>
      <c r="N19" s="202"/>
      <c r="O19" s="202"/>
      <c r="P19" s="224"/>
      <c r="Q19" s="202"/>
      <c r="R19" s="202"/>
      <c r="S19" s="62"/>
    </row>
    <row r="20" spans="1:19" s="9" customFormat="1" ht="9" customHeight="1">
      <c r="A20" s="729">
        <f>IF($C20="","",IF(AND($C20&gt;=1,$C20&lt;33),INDEX(ПодгПар!$P$6:$P$37,$C20),""))</f>
      </c>
      <c r="B20" s="769">
        <v>4</v>
      </c>
      <c r="C20" s="788"/>
      <c r="D20" s="184">
        <f>IF($C20="","",IF(AND($C20&gt;=1,$C20&lt;33),INDEX(ПодгПар!$AB$6:$AB$37,$C20,1),"Х"))</f>
      </c>
      <c r="E20" s="185">
        <f>IF($C20="","",IF(AND($C20&gt;=1,$C20&lt;33),INDEX(ПодгПар!$W$6:$W$37,$C20,1),""))</f>
      </c>
      <c r="F20" s="186">
        <f>IF($C20="","",IF(AND($C20&gt;=1,$C20&lt;33),INDEX(ПодгПар!$F$6:$F$37,$C20,1),""))</f>
      </c>
      <c r="G20" s="196"/>
      <c r="H20" s="773"/>
      <c r="I20" s="773"/>
      <c r="J20" s="213"/>
      <c r="K20" s="212"/>
      <c r="L20" s="212"/>
      <c r="M20" s="227"/>
      <c r="N20" s="798"/>
      <c r="O20" s="798"/>
      <c r="P20" s="224"/>
      <c r="Q20" s="202"/>
      <c r="R20" s="202"/>
      <c r="S20" s="62"/>
    </row>
    <row r="21" spans="1:19" s="9" customFormat="1" ht="9" customHeight="1" thickBot="1">
      <c r="A21" s="748"/>
      <c r="B21" s="770"/>
      <c r="C21" s="789"/>
      <c r="D21" s="187">
        <f>IF($C20="","",IF(AND($C20&gt;=1,$C20&lt;33),INDEX(ПодгПар!$AL$6:$AL$37,$C20,1),"Х"))</f>
      </c>
      <c r="E21" s="188">
        <f>IF($C20="","",IF(AND($C20&gt;=1,$C20&lt;33),INDEX(ПодгПар!$AJ$6:$AJ$37,$C20,1),""))</f>
      </c>
      <c r="F21" s="189">
        <f>IF($C20="","",IF(AND($C20&gt;=1,$C20&lt;33),INDEX(ПодгПар!$K$6:$K$37,$C20,1),""))</f>
      </c>
      <c r="G21" s="201"/>
      <c r="H21" s="198"/>
      <c r="I21" s="198"/>
      <c r="J21" s="211"/>
      <c r="K21" s="212"/>
      <c r="L21" s="212"/>
      <c r="M21" s="791" t="str">
        <f>IF(M23=0,CONCATENATE("поб.",J15,",",J16),IF(M23=1,J15,IF(M23=2,J27,"Х")))</f>
        <v>поб.поб.поб.МАТВЕЕВА,ХАБАРОВА,,,поб.,,,</v>
      </c>
      <c r="N21" s="792"/>
      <c r="O21" s="792"/>
      <c r="P21" s="224"/>
      <c r="Q21" s="202"/>
      <c r="R21" s="202"/>
      <c r="S21" s="62"/>
    </row>
    <row r="22" spans="1:19" s="9" customFormat="1" ht="9" customHeight="1">
      <c r="A22" s="776"/>
      <c r="B22" s="778"/>
      <c r="C22" s="780"/>
      <c r="D22" s="782"/>
      <c r="E22" s="190"/>
      <c r="F22" s="782"/>
      <c r="G22" s="200"/>
      <c r="H22" s="198"/>
      <c r="I22" s="198"/>
      <c r="J22" s="211"/>
      <c r="K22" s="212"/>
      <c r="L22" s="212"/>
      <c r="M22" s="793" t="str">
        <f>IF(M23=0,CONCATENATE(J27,",",J28),IF(M23=1,J16,IF(M23=2,J28,"Х")))</f>
        <v>поб.поб.,,,,поб.,,,</v>
      </c>
      <c r="N22" s="794"/>
      <c r="O22" s="794"/>
      <c r="P22" s="229"/>
      <c r="Q22" s="202"/>
      <c r="R22" s="202"/>
      <c r="S22" s="62"/>
    </row>
    <row r="23" spans="1:19" s="9" customFormat="1" ht="9" customHeight="1" thickBot="1">
      <c r="A23" s="777"/>
      <c r="B23" s="779"/>
      <c r="C23" s="781"/>
      <c r="D23" s="783"/>
      <c r="E23" s="191"/>
      <c r="F23" s="783"/>
      <c r="G23" s="200"/>
      <c r="H23" s="198"/>
      <c r="I23" s="198"/>
      <c r="J23" s="213"/>
      <c r="K23" s="212"/>
      <c r="L23" s="212"/>
      <c r="M23" s="205"/>
      <c r="N23" s="773"/>
      <c r="O23" s="773"/>
      <c r="P23" s="226"/>
      <c r="Q23" s="202"/>
      <c r="R23" s="202"/>
      <c r="S23" s="62"/>
    </row>
    <row r="24" spans="1:19" s="9" customFormat="1" ht="9" customHeight="1">
      <c r="A24" s="758">
        <f>IF($C24="","",IF(AND($C24&gt;=1,$C24&lt;33),INDEX(ПодгПар!$P$6:$P$37,$C24),""))</f>
      </c>
      <c r="B24" s="759">
        <v>5</v>
      </c>
      <c r="C24" s="761"/>
      <c r="D24" s="178">
        <f>IF($C24="","",IF(AND($C24&gt;=1,$C24&lt;33),INDEX(ПодгПар!$AB$6:$AB$37,$C24,1),"Х"))</f>
      </c>
      <c r="E24" s="179">
        <f>IF($C24="","",IF(AND($C24&gt;=1,$C24&lt;33),INDEX(ПодгПар!$W$6:$W$37,$C24,1),""))</f>
      </c>
      <c r="F24" s="180">
        <f>IF($C24="","",IF(AND($C24&gt;=1,$C24&lt;33),INDEX(ПодгПар!$F$6:$F$37,$C24,1),""))</f>
      </c>
      <c r="G24" s="763" t="str">
        <f>IF(G26=0,CONCATENATE("поб.",D24,",",D25),IF(G26=1,D24,IF(G26=2,D26,"Х")))</f>
        <v>поб.,</v>
      </c>
      <c r="H24" s="764"/>
      <c r="I24" s="764"/>
      <c r="J24" s="216"/>
      <c r="K24" s="212"/>
      <c r="L24" s="212"/>
      <c r="M24" s="227"/>
      <c r="N24" s="202"/>
      <c r="O24" s="202"/>
      <c r="P24" s="227"/>
      <c r="Q24" s="202"/>
      <c r="R24" s="202"/>
      <c r="S24" s="62"/>
    </row>
    <row r="25" spans="1:19" s="9" customFormat="1" ht="9" customHeight="1">
      <c r="A25" s="730"/>
      <c r="B25" s="760"/>
      <c r="C25" s="762"/>
      <c r="D25" s="181">
        <f>IF($C24="","",IF(AND($C24&gt;=1,$C24&lt;33),INDEX(ПодгПар!$AL$6:$AL$37,$C24,1),"Х"))</f>
      </c>
      <c r="E25" s="182">
        <f>IF($C24="","",IF(AND($C24&gt;=1,$C24&lt;33),INDEX(ПодгПар!$AJ$6:$AJ$37,$C24,1),""))</f>
      </c>
      <c r="F25" s="183">
        <f>IF($C24="","",IF(AND($C24&gt;=1,$C24&lt;33),INDEX(ПодгПар!$K$6:$K$37,$C24,1),""))</f>
      </c>
      <c r="G25" s="766" t="str">
        <f>IF(G26=0,CONCATENATE(D26,",",D27),IF(G26=1,D25,IF(G26=2,D27,"Х")))</f>
        <v>,</v>
      </c>
      <c r="H25" s="767"/>
      <c r="I25" s="767"/>
      <c r="J25" s="211"/>
      <c r="K25" s="215"/>
      <c r="L25" s="215"/>
      <c r="M25" s="226"/>
      <c r="N25" s="202"/>
      <c r="O25" s="202"/>
      <c r="P25" s="227"/>
      <c r="Q25" s="202"/>
      <c r="R25" s="202"/>
      <c r="S25" s="62"/>
    </row>
    <row r="26" spans="1:19" s="9" customFormat="1" ht="9" customHeight="1">
      <c r="A26" s="729">
        <f>IF($C26="","",IF(AND($C26&gt;=1,$C26&lt;33),INDEX(ПодгПар!$P$6:$P$37,$C26),""))</f>
      </c>
      <c r="B26" s="769">
        <v>6</v>
      </c>
      <c r="C26" s="788"/>
      <c r="D26" s="184">
        <f>IF($C26="","",IF(AND($C26&gt;=1,$C26&lt;33),INDEX(ПодгПар!$AB$6:$AB$37,$C26,1),"Х"))</f>
      </c>
      <c r="E26" s="185">
        <f>IF($C26="","",IF(AND($C26&gt;=1,$C26&lt;33),INDEX(ПодгПар!$W$6:$W$37,$C26,1),""))</f>
      </c>
      <c r="F26" s="186">
        <f>IF($C26="","",IF(AND($C26&gt;=1,$C26&lt;33),INDEX(ПодгПар!$F$6:$F$37,$C26,1),""))</f>
      </c>
      <c r="G26" s="196"/>
      <c r="H26" s="773"/>
      <c r="I26" s="790"/>
      <c r="J26" s="213"/>
      <c r="K26" s="215"/>
      <c r="L26" s="215"/>
      <c r="M26" s="226"/>
      <c r="N26" s="202"/>
      <c r="O26" s="202"/>
      <c r="P26" s="227"/>
      <c r="Q26" s="202"/>
      <c r="R26" s="202"/>
      <c r="S26" s="62"/>
    </row>
    <row r="27" spans="1:19" s="9" customFormat="1" ht="9" customHeight="1" thickBot="1">
      <c r="A27" s="748"/>
      <c r="B27" s="770"/>
      <c r="C27" s="789"/>
      <c r="D27" s="187">
        <f>IF($C26="","",IF(AND($C26&gt;=1,$C26&lt;33),INDEX(ПодгПар!$AL$6:$AL$37,$C26,1),"Х"))</f>
      </c>
      <c r="E27" s="188">
        <f>IF($C26="","",IF(AND($C26&gt;=1,$C26&lt;33),INDEX(ПодгПар!$AJ$6:$AJ$37,$C26,1),""))</f>
      </c>
      <c r="F27" s="189">
        <f>IF($C26="","",IF(AND($C26&gt;=1,$C26&lt;33),INDEX(ПодгПар!$K$6:$K$37,$C26,1),""))</f>
      </c>
      <c r="G27" s="197"/>
      <c r="H27" s="198"/>
      <c r="I27" s="199"/>
      <c r="J27" s="774" t="str">
        <f>IF(J29=0,CONCATENATE("поб.",G24,",",G25),IF(J29=1,G24,IF(J29=2,G30,"Х")))</f>
        <v>поб.поб.,,,</v>
      </c>
      <c r="K27" s="775"/>
      <c r="L27" s="775"/>
      <c r="M27" s="226"/>
      <c r="N27" s="202"/>
      <c r="O27" s="202"/>
      <c r="P27" s="227"/>
      <c r="Q27" s="202"/>
      <c r="R27" s="202"/>
      <c r="S27" s="62"/>
    </row>
    <row r="28" spans="1:19" s="9" customFormat="1" ht="9" customHeight="1">
      <c r="A28" s="776"/>
      <c r="B28" s="778"/>
      <c r="C28" s="780"/>
      <c r="D28" s="782"/>
      <c r="E28" s="190"/>
      <c r="F28" s="782"/>
      <c r="G28" s="200"/>
      <c r="H28" s="198"/>
      <c r="I28" s="199"/>
      <c r="J28" s="784" t="str">
        <f>IF(J29=0,CONCATENATE(G30,",",G31),IF(J29=1,G25,IF(J29=2,G31,"Х")))</f>
        <v>поб.,,,</v>
      </c>
      <c r="K28" s="785"/>
      <c r="L28" s="786"/>
      <c r="M28" s="226"/>
      <c r="N28" s="202"/>
      <c r="O28" s="202"/>
      <c r="P28" s="227"/>
      <c r="Q28" s="202"/>
      <c r="R28" s="202"/>
      <c r="S28" s="62"/>
    </row>
    <row r="29" spans="1:19" s="9" customFormat="1" ht="9" customHeight="1" thickBot="1">
      <c r="A29" s="777"/>
      <c r="B29" s="779"/>
      <c r="C29" s="781"/>
      <c r="D29" s="783"/>
      <c r="E29" s="191"/>
      <c r="F29" s="783"/>
      <c r="G29" s="200"/>
      <c r="H29" s="198"/>
      <c r="I29" s="199"/>
      <c r="J29" s="214"/>
      <c r="K29" s="787"/>
      <c r="L29" s="787"/>
      <c r="M29" s="225"/>
      <c r="N29" s="202"/>
      <c r="O29" s="202"/>
      <c r="P29" s="227"/>
      <c r="Q29" s="228"/>
      <c r="R29" s="228"/>
      <c r="S29" s="62"/>
    </row>
    <row r="30" spans="1:19" s="9" customFormat="1" ht="9" customHeight="1">
      <c r="A30" s="758">
        <f>IF($C30="","",IF(AND($C30&gt;=1,$C30&lt;33),INDEX(ПодгПар!$P$6:$P$37,$C30),""))</f>
      </c>
      <c r="B30" s="759">
        <v>7</v>
      </c>
      <c r="C30" s="761"/>
      <c r="D30" s="178">
        <f>IF($C30="","",IF(AND($C30&gt;=1,$C30&lt;33),INDEX(ПодгПар!$AB$6:$AB$37,$C30,1),"Х"))</f>
      </c>
      <c r="E30" s="179">
        <f>IF($C30="","",IF(AND($C30&gt;=1,$C30&lt;33),INDEX(ПодгПар!$W$6:$W$37,$C30,1),""))</f>
      </c>
      <c r="F30" s="180">
        <f>IF($C30="","",IF(AND($C30&gt;=1,$C30&lt;33),INDEX(ПодгПар!$F$6:$F$37,$C30,1),""))</f>
      </c>
      <c r="G30" s="763" t="str">
        <f>IF(G32=0,CONCATENATE("поб.",D30,",",D31),IF(G32=1,D30,IF(G32=2,D32,"Х")))</f>
        <v>поб.,</v>
      </c>
      <c r="H30" s="764"/>
      <c r="I30" s="765"/>
      <c r="J30" s="211"/>
      <c r="K30" s="212"/>
      <c r="L30" s="212"/>
      <c r="M30" s="224"/>
      <c r="N30" s="202"/>
      <c r="O30" s="202"/>
      <c r="P30" s="227"/>
      <c r="Q30" s="228"/>
      <c r="R30" s="228"/>
      <c r="S30" s="62"/>
    </row>
    <row r="31" spans="1:19" s="9" customFormat="1" ht="9" customHeight="1">
      <c r="A31" s="730"/>
      <c r="B31" s="760"/>
      <c r="C31" s="762"/>
      <c r="D31" s="181">
        <f>IF($C30="","",IF(AND($C30&gt;=1,$C30&lt;33),INDEX(ПодгПар!$AL$6:$AL$37,$C30,1),"Х"))</f>
      </c>
      <c r="E31" s="182">
        <f>IF($C30="","",IF(AND($C30&gt;=1,$C30&lt;33),INDEX(ПодгПар!$AJ$6:$AJ$37,$C30,1),""))</f>
      </c>
      <c r="F31" s="183">
        <f>IF($C30="","",IF(AND($C30&gt;=1,$C30&lt;33),INDEX(ПодгПар!$K$6:$K$37,$C30,1),""))</f>
      </c>
      <c r="G31" s="766" t="str">
        <f>IF(G32=0,CONCATENATE(D32,",",D33),IF(G32=1,D31,IF(G32=2,D33,"Х")))</f>
        <v>,</v>
      </c>
      <c r="H31" s="767"/>
      <c r="I31" s="768"/>
      <c r="J31" s="211"/>
      <c r="K31" s="212"/>
      <c r="L31" s="212"/>
      <c r="M31" s="224"/>
      <c r="N31" s="202"/>
      <c r="O31" s="202"/>
      <c r="P31" s="227"/>
      <c r="Q31" s="202"/>
      <c r="R31" s="202"/>
      <c r="S31" s="62"/>
    </row>
    <row r="32" spans="1:19" s="9" customFormat="1" ht="9" customHeight="1">
      <c r="A32" s="729" t="str">
        <f>IF($C32="","5,6,7 или 8",IF(AND($C32&gt;=1,$C32&lt;33),INDEX(ПодгПар!$P$6:$P$37,$C32),""))</f>
        <v>5,6,7 или 8</v>
      </c>
      <c r="B32" s="769">
        <v>8</v>
      </c>
      <c r="C32" s="771"/>
      <c r="D32" s="184">
        <f>IF($C32="","",IF(AND($C32&gt;=1,$C32&lt;33),INDEX(ПодгПар!$AB$6:$AB$37,$C32,1),"Х"))</f>
      </c>
      <c r="E32" s="185">
        <f>IF($C32="","",IF(AND($C32&gt;=1,$C32&lt;33),INDEX(ПодгПар!$W$6:$W$37,$C32,1),""))</f>
      </c>
      <c r="F32" s="186">
        <f>IF($C32="","",IF(AND($C32&gt;=1,$C32&lt;33),INDEX(ПодгПар!$F$6:$F$37,$C32,1),""))</f>
      </c>
      <c r="G32" s="196"/>
      <c r="H32" s="773"/>
      <c r="I32" s="773"/>
      <c r="J32" s="213"/>
      <c r="K32" s="212"/>
      <c r="L32" s="212"/>
      <c r="M32" s="224"/>
      <c r="N32" s="202"/>
      <c r="O32" s="202"/>
      <c r="P32" s="227"/>
      <c r="Q32" s="202"/>
      <c r="R32" s="202"/>
      <c r="S32" s="62"/>
    </row>
    <row r="33" spans="1:19" s="9" customFormat="1" ht="9" customHeight="1" thickBot="1">
      <c r="A33" s="748"/>
      <c r="B33" s="770"/>
      <c r="C33" s="772"/>
      <c r="D33" s="187">
        <f>IF($C32="","",IF(AND($C32&gt;=1,$C32&lt;33),INDEX(ПодгПар!$AL$6:$AL$37,$C32,1),"Х"))</f>
      </c>
      <c r="E33" s="188">
        <f>IF($C32="","",IF(AND($C32&gt;=1,$C32&lt;33),INDEX(ПодгПар!$AJ$6:$AJ$37,$C32,1),""))</f>
      </c>
      <c r="F33" s="189">
        <f>IF($C32="","",IF(AND($C32&gt;=1,$C32&lt;33),INDEX(ПодгПар!$K$6:$K$37,$C32,1),""))</f>
      </c>
      <c r="G33" s="201"/>
      <c r="H33" s="198"/>
      <c r="I33" s="198"/>
      <c r="J33" s="211"/>
      <c r="K33" s="215"/>
      <c r="L33" s="215"/>
      <c r="M33" s="225"/>
      <c r="N33" s="202"/>
      <c r="O33" s="202"/>
      <c r="P33" s="791" t="str">
        <f>IF(P35=0,CONCATENATE("поб.",M21,",",M22),IF(P35=1,M21,IF(P35=2,M45,"Х")))</f>
        <v>поб.поб.поб.поб.МАТВЕЕВА,ХАБАРОВА,,,поб.,,,,поб.поб.,,,,поб.,,,</v>
      </c>
      <c r="Q33" s="792"/>
      <c r="R33" s="792"/>
      <c r="S33" s="62"/>
    </row>
    <row r="34" spans="1:19" s="9" customFormat="1" ht="9" customHeight="1">
      <c r="A34" s="776"/>
      <c r="B34" s="778"/>
      <c r="C34" s="780"/>
      <c r="D34" s="782"/>
      <c r="E34" s="190"/>
      <c r="F34" s="782"/>
      <c r="G34" s="200"/>
      <c r="H34" s="198"/>
      <c r="I34" s="198"/>
      <c r="J34" s="211"/>
      <c r="K34" s="215"/>
      <c r="L34" s="215"/>
      <c r="M34" s="225"/>
      <c r="N34" s="202"/>
      <c r="O34" s="202"/>
      <c r="P34" s="799" t="str">
        <f>IF(P35=0,CONCATENATE(M45,",",M46),IF(P35=1,M22,IF(P35=2,M46,"Х")))</f>
        <v>поб.поб.поб.,,,,поб.,,,,поб.поб.,,,,поб.,,,</v>
      </c>
      <c r="Q34" s="800"/>
      <c r="R34" s="800"/>
      <c r="S34" s="62"/>
    </row>
    <row r="35" spans="1:19" s="9" customFormat="1" ht="9" customHeight="1" thickBot="1">
      <c r="A35" s="777"/>
      <c r="B35" s="779"/>
      <c r="C35" s="781"/>
      <c r="D35" s="783"/>
      <c r="E35" s="191"/>
      <c r="F35" s="783"/>
      <c r="G35" s="200"/>
      <c r="H35" s="198"/>
      <c r="I35" s="198"/>
      <c r="J35" s="213"/>
      <c r="K35" s="212"/>
      <c r="L35" s="212"/>
      <c r="M35" s="224"/>
      <c r="N35" s="202"/>
      <c r="O35" s="202"/>
      <c r="P35" s="205"/>
      <c r="Q35" s="773"/>
      <c r="R35" s="790"/>
      <c r="S35" s="62"/>
    </row>
    <row r="36" spans="1:19" s="9" customFormat="1" ht="9" customHeight="1">
      <c r="A36" s="758" t="str">
        <f>IF($C36="","3 или 4",IF(AND($C36&gt;=1,$C36&lt;33),INDEX(ПодгПар!$P$6:$P$37,$C36),""))</f>
        <v>3 или 4</v>
      </c>
      <c r="B36" s="759">
        <v>9</v>
      </c>
      <c r="C36" s="796"/>
      <c r="D36" s="178">
        <f>IF($C36="","",IF(AND($C36&gt;=1,$C36&lt;33),INDEX(ПодгПар!$AB$6:$AB$37,$C36,1),"Х"))</f>
      </c>
      <c r="E36" s="179">
        <f>IF($C36="","",IF(AND($C36&gt;=1,$C36&lt;33),INDEX(ПодгПар!$W$6:$W$37,$C36,1),""))</f>
      </c>
      <c r="F36" s="180">
        <f>IF($C36="","",IF(AND($C36&gt;=1,$C36&lt;33),INDEX(ПодгПар!$F$6:$F$37,$C36,1),""))</f>
      </c>
      <c r="G36" s="763" t="str">
        <f>IF(G38=0,CONCATENATE("поб.",D36,",",D37),IF(G38=1,D36,IF(G38=2,D38,"Х")))</f>
        <v>поб.,</v>
      </c>
      <c r="H36" s="764"/>
      <c r="I36" s="764"/>
      <c r="J36" s="216"/>
      <c r="K36" s="212"/>
      <c r="L36" s="212"/>
      <c r="M36" s="224"/>
      <c r="N36" s="202"/>
      <c r="O36" s="202"/>
      <c r="P36" s="227"/>
      <c r="Q36" s="202"/>
      <c r="R36" s="230"/>
      <c r="S36" s="62"/>
    </row>
    <row r="37" spans="1:19" s="9" customFormat="1" ht="9" customHeight="1">
      <c r="A37" s="730"/>
      <c r="B37" s="760"/>
      <c r="C37" s="797"/>
      <c r="D37" s="181">
        <f>IF($C36="","",IF(AND($C36&gt;=1,$C36&lt;33),INDEX(ПодгПар!$AL$6:$AL$37,$C36,1),"Х"))</f>
      </c>
      <c r="E37" s="182">
        <f>IF($C36="","",IF(AND($C36&gt;=1,$C36&lt;33),INDEX(ПодгПар!$AJ$6:$AJ$37,$C36,1),""))</f>
      </c>
      <c r="F37" s="183">
        <f>IF($C36="","",IF(AND($C36&gt;=1,$C36&lt;33),INDEX(ПодгПар!$K$6:$K$37,$C36,1),""))</f>
      </c>
      <c r="G37" s="766" t="str">
        <f>IF(G38=0,CONCATENATE(D38,",",D39),IF(G38=1,D37,IF(G38=2,D39,"Х")))</f>
        <v>,</v>
      </c>
      <c r="H37" s="767"/>
      <c r="I37" s="767"/>
      <c r="J37" s="211"/>
      <c r="K37" s="212"/>
      <c r="L37" s="212"/>
      <c r="M37" s="224"/>
      <c r="N37" s="228"/>
      <c r="O37" s="228"/>
      <c r="P37" s="226"/>
      <c r="Q37" s="202"/>
      <c r="R37" s="230"/>
      <c r="S37" s="62"/>
    </row>
    <row r="38" spans="1:19" s="9" customFormat="1" ht="9" customHeight="1">
      <c r="A38" s="729">
        <f>IF($C38="","",IF(AND($C38&gt;=1,$C38&lt;33),INDEX(ПодгПар!$P$6:$P$37,$C38),""))</f>
      </c>
      <c r="B38" s="769">
        <v>10</v>
      </c>
      <c r="C38" s="788"/>
      <c r="D38" s="184">
        <f>IF($C38="","",IF(AND($C38&gt;=1,$C38&lt;33),INDEX(ПодгПар!$AB$6:$AB$37,$C38,1),"Х"))</f>
      </c>
      <c r="E38" s="185">
        <f>IF($C38="","",IF(AND($C38&gt;=1,$C38&lt;33),INDEX(ПодгПар!$W$6:$W$37,$C38,1),""))</f>
      </c>
      <c r="F38" s="186">
        <f>IF($C38="","",IF(AND($C38&gt;=1,$C38&lt;33),INDEX(ПодгПар!$F$6:$F$37,$C38,1),""))</f>
      </c>
      <c r="G38" s="196"/>
      <c r="H38" s="773"/>
      <c r="I38" s="790"/>
      <c r="J38" s="213"/>
      <c r="K38" s="212"/>
      <c r="L38" s="212"/>
      <c r="M38" s="224"/>
      <c r="N38" s="228"/>
      <c r="O38" s="228"/>
      <c r="P38" s="226"/>
      <c r="Q38" s="202"/>
      <c r="R38" s="230"/>
      <c r="S38" s="62"/>
    </row>
    <row r="39" spans="1:19" s="9" customFormat="1" ht="9" customHeight="1" thickBot="1">
      <c r="A39" s="748"/>
      <c r="B39" s="770"/>
      <c r="C39" s="789"/>
      <c r="D39" s="187">
        <f>IF($C38="","",IF(AND($C38&gt;=1,$C38&lt;33),INDEX(ПодгПар!$AL$6:$AL$37,$C38,1),"Х"))</f>
      </c>
      <c r="E39" s="188">
        <f>IF($C38="","",IF(AND($C38&gt;=1,$C38&lt;33),INDEX(ПодгПар!$AJ$6:$AJ$37,$C38,1),""))</f>
      </c>
      <c r="F39" s="189">
        <f>IF($C38="","",IF(AND($C38&gt;=1,$C38&lt;33),INDEX(ПодгПар!$K$6:$K$37,$C38,1),""))</f>
      </c>
      <c r="G39" s="197"/>
      <c r="H39" s="198"/>
      <c r="I39" s="199"/>
      <c r="J39" s="774" t="str">
        <f>IF(J41=0,CONCATENATE("поб.",G36,",",G37),IF(J41=1,G36,IF(J41=2,G42,"Х")))</f>
        <v>поб.поб.,,,</v>
      </c>
      <c r="K39" s="775"/>
      <c r="L39" s="775"/>
      <c r="M39" s="225"/>
      <c r="N39" s="202"/>
      <c r="O39" s="202"/>
      <c r="P39" s="227"/>
      <c r="Q39" s="202"/>
      <c r="R39" s="230"/>
      <c r="S39" s="62"/>
    </row>
    <row r="40" spans="1:19" s="9" customFormat="1" ht="9" customHeight="1">
      <c r="A40" s="776"/>
      <c r="B40" s="778"/>
      <c r="C40" s="780"/>
      <c r="D40" s="782"/>
      <c r="E40" s="190"/>
      <c r="F40" s="782"/>
      <c r="G40" s="200"/>
      <c r="H40" s="198"/>
      <c r="I40" s="199"/>
      <c r="J40" s="784" t="str">
        <f>IF(J41=0,CONCATENATE(G42,",",G43),IF(J41=1,G37,IF(J41=2,G43,"Х")))</f>
        <v>поб.,,,</v>
      </c>
      <c r="K40" s="785"/>
      <c r="L40" s="785"/>
      <c r="M40" s="225"/>
      <c r="N40" s="202"/>
      <c r="O40" s="202"/>
      <c r="P40" s="227"/>
      <c r="Q40" s="202"/>
      <c r="R40" s="230"/>
      <c r="S40" s="62"/>
    </row>
    <row r="41" spans="1:19" s="9" customFormat="1" ht="9" customHeight="1" thickBot="1">
      <c r="A41" s="777"/>
      <c r="B41" s="779"/>
      <c r="C41" s="781"/>
      <c r="D41" s="783"/>
      <c r="E41" s="191"/>
      <c r="F41" s="783"/>
      <c r="G41" s="200"/>
      <c r="H41" s="198"/>
      <c r="I41" s="199"/>
      <c r="J41" s="214"/>
      <c r="K41" s="795"/>
      <c r="L41" s="795"/>
      <c r="M41" s="226"/>
      <c r="N41" s="202"/>
      <c r="O41" s="202"/>
      <c r="P41" s="227"/>
      <c r="Q41" s="202"/>
      <c r="R41" s="230"/>
      <c r="S41" s="62"/>
    </row>
    <row r="42" spans="1:19" s="9" customFormat="1" ht="9" customHeight="1">
      <c r="A42" s="758">
        <f>IF($C42="","",IF(AND($C42&gt;=1,$C42&lt;33),INDEX(ПодгПар!$P$6:$P$37,$C42),""))</f>
      </c>
      <c r="B42" s="759">
        <v>11</v>
      </c>
      <c r="C42" s="761"/>
      <c r="D42" s="178">
        <f>IF($C42="","",IF(AND($C42&gt;=1,$C42&lt;33),INDEX(ПодгПар!$AB$6:$AB$37,$C42,1),"Х"))</f>
      </c>
      <c r="E42" s="179">
        <f>IF($C42="","",IF(AND($C42&gt;=1,$C42&lt;33),INDEX(ПодгПар!$W$6:$W$37,$C42,1),""))</f>
      </c>
      <c r="F42" s="180">
        <f>IF($C42="","",IF(AND($C42&gt;=1,$C42&lt;33),INDEX(ПодгПар!$F$6:$F$37,$C42,1),""))</f>
      </c>
      <c r="G42" s="763" t="str">
        <f>IF(G44=0,CONCATENATE("поб.",D42,",",D43),IF(G44=1,D42,IF(G44=2,D44,"Х")))</f>
        <v>поб.,</v>
      </c>
      <c r="H42" s="764"/>
      <c r="I42" s="765"/>
      <c r="J42" s="211"/>
      <c r="K42" s="215"/>
      <c r="L42" s="215"/>
      <c r="M42" s="226"/>
      <c r="N42" s="202"/>
      <c r="O42" s="202"/>
      <c r="P42" s="227"/>
      <c r="Q42" s="202"/>
      <c r="R42" s="230"/>
      <c r="S42" s="62"/>
    </row>
    <row r="43" spans="1:19" s="9" customFormat="1" ht="9" customHeight="1">
      <c r="A43" s="730"/>
      <c r="B43" s="760"/>
      <c r="C43" s="762"/>
      <c r="D43" s="181">
        <f>IF($C42="","",IF(AND($C42&gt;=1,$C42&lt;33),INDEX(ПодгПар!$AL$6:$AL$37,$C42,1),"Х"))</f>
      </c>
      <c r="E43" s="182">
        <f>IF($C42="","",IF(AND($C42&gt;=1,$C42&lt;33),INDEX(ПодгПар!$AJ$6:$AJ$37,$C42,1),""))</f>
      </c>
      <c r="F43" s="183">
        <f>IF($C42="","",IF(AND($C42&gt;=1,$C42&lt;33),INDEX(ПодгПар!$K$6:$K$37,$C42,1),""))</f>
      </c>
      <c r="G43" s="766" t="str">
        <f>IF(G44=0,CONCATENATE(D44,",",D45),IF(G44=1,D43,IF(G44=2,D45,"Х")))</f>
        <v>,</v>
      </c>
      <c r="H43" s="767"/>
      <c r="I43" s="768"/>
      <c r="J43" s="211"/>
      <c r="K43" s="212"/>
      <c r="L43" s="212"/>
      <c r="M43" s="227"/>
      <c r="N43" s="202"/>
      <c r="O43" s="202"/>
      <c r="P43" s="227"/>
      <c r="Q43" s="202"/>
      <c r="R43" s="230"/>
      <c r="S43" s="72"/>
    </row>
    <row r="44" spans="1:19" s="9" customFormat="1" ht="9" customHeight="1">
      <c r="A44" s="729">
        <f>IF($C44="","",IF(AND($C44&gt;=1,$C44&lt;33),INDEX(ПодгПар!$P$6:$P$37,$C44),""))</f>
      </c>
      <c r="B44" s="769">
        <v>12</v>
      </c>
      <c r="C44" s="788"/>
      <c r="D44" s="184">
        <f>IF($C44="","",IF(AND($C44&gt;=1,$C44&lt;33),INDEX(ПодгПар!$AB$6:$AB$37,$C44,1),"Х"))</f>
      </c>
      <c r="E44" s="185">
        <f>IF($C44="","",IF(AND($C44&gt;=1,$C44&lt;33),INDEX(ПодгПар!$W$6:$W$37,$C44,1),""))</f>
      </c>
      <c r="F44" s="186">
        <f>IF($C44="","",IF(AND($C44&gt;=1,$C44&lt;33),INDEX(ПодгПар!$F$6:$F$37,$C44,1),""))</f>
      </c>
      <c r="G44" s="196"/>
      <c r="H44" s="773"/>
      <c r="I44" s="773"/>
      <c r="J44" s="213"/>
      <c r="K44" s="212"/>
      <c r="L44" s="212"/>
      <c r="M44" s="227"/>
      <c r="N44" s="202"/>
      <c r="O44" s="202"/>
      <c r="P44" s="227"/>
      <c r="Q44" s="202"/>
      <c r="R44" s="230"/>
      <c r="S44" s="73"/>
    </row>
    <row r="45" spans="1:19" s="9" customFormat="1" ht="9" customHeight="1" thickBot="1">
      <c r="A45" s="748"/>
      <c r="B45" s="770"/>
      <c r="C45" s="789"/>
      <c r="D45" s="187">
        <f>IF($C44="","",IF(AND($C44&gt;=1,$C44&lt;33),INDEX(ПодгПар!$AL$6:$AL$37,$C44,1),"Х"))</f>
      </c>
      <c r="E45" s="188">
        <f>IF($C44="","",IF(AND($C44&gt;=1,$C44&lt;33),INDEX(ПодгПар!$AJ$6:$AJ$37,$C44,1),""))</f>
      </c>
      <c r="F45" s="189">
        <f>IF($C44="","",IF(AND($C44&gt;=1,$C44&lt;33),INDEX(ПодгПар!$K$6:$K$37,$C44,1),""))</f>
      </c>
      <c r="G45" s="201"/>
      <c r="H45" s="198"/>
      <c r="I45" s="198"/>
      <c r="J45" s="211"/>
      <c r="K45" s="212"/>
      <c r="L45" s="212"/>
      <c r="M45" s="791" t="str">
        <f>IF(M47=0,CONCATENATE("поб.",J39,",",J40),IF(M47=1,J39,IF(M47=2,J51,"Х")))</f>
        <v>поб.поб.поб.,,,,поб.,,,</v>
      </c>
      <c r="N45" s="792"/>
      <c r="O45" s="792"/>
      <c r="P45" s="227"/>
      <c r="Q45" s="202"/>
      <c r="R45" s="230"/>
      <c r="S45" s="73"/>
    </row>
    <row r="46" spans="1:19" s="9" customFormat="1" ht="9" customHeight="1">
      <c r="A46" s="776"/>
      <c r="B46" s="778"/>
      <c r="C46" s="780"/>
      <c r="D46" s="782"/>
      <c r="E46" s="190"/>
      <c r="F46" s="782"/>
      <c r="G46" s="200"/>
      <c r="H46" s="198"/>
      <c r="I46" s="198"/>
      <c r="J46" s="211"/>
      <c r="K46" s="212"/>
      <c r="L46" s="212"/>
      <c r="M46" s="793" t="str">
        <f>IF(M47=0,CONCATENATE(J51,",",J52),IF(M47=1,J40,IF(M47=2,J52,"Х")))</f>
        <v>поб.поб.,,,,поб.,,,</v>
      </c>
      <c r="N46" s="794"/>
      <c r="O46" s="794"/>
      <c r="P46" s="227"/>
      <c r="Q46" s="228"/>
      <c r="R46" s="231"/>
      <c r="S46" s="73"/>
    </row>
    <row r="47" spans="1:19" s="9" customFormat="1" ht="9" customHeight="1" thickBot="1">
      <c r="A47" s="777"/>
      <c r="B47" s="779"/>
      <c r="C47" s="781"/>
      <c r="D47" s="783"/>
      <c r="E47" s="191"/>
      <c r="F47" s="783"/>
      <c r="G47" s="200"/>
      <c r="H47" s="198"/>
      <c r="I47" s="198"/>
      <c r="J47" s="213"/>
      <c r="K47" s="212"/>
      <c r="L47" s="212"/>
      <c r="M47" s="205"/>
      <c r="N47" s="773"/>
      <c r="O47" s="773"/>
      <c r="P47" s="225"/>
      <c r="Q47" s="228"/>
      <c r="R47" s="231"/>
      <c r="S47" s="72"/>
    </row>
    <row r="48" spans="1:19" s="9" customFormat="1" ht="9" customHeight="1">
      <c r="A48" s="758">
        <f>IF($C48="","",IF(AND($C48&gt;=1,$C48&lt;33),INDEX(ПодгПар!$P$6:$P$37,$C48),""))</f>
      </c>
      <c r="B48" s="759">
        <v>13</v>
      </c>
      <c r="C48" s="761"/>
      <c r="D48" s="178">
        <f>IF($C48="","",IF(AND($C48&gt;=1,$C48&lt;33),INDEX(ПодгПар!$AB$6:$AB$37,$C48,1),"Х"))</f>
      </c>
      <c r="E48" s="179">
        <f>IF($C48="","",IF(AND($C48&gt;=1,$C48&lt;33),INDEX(ПодгПар!$W$6:$W$37,$C48,1),""))</f>
      </c>
      <c r="F48" s="180">
        <f>IF($C48="","",IF(AND($C48&gt;=1,$C48&lt;33),INDEX(ПодгПар!$F$6:$F$37,$C48,1),""))</f>
      </c>
      <c r="G48" s="763" t="str">
        <f>IF(G50=0,CONCATENATE("поб.",D48,",",D49),IF(G50=1,D48,IF(G50=2,D50,"Х")))</f>
        <v>поб.,</v>
      </c>
      <c r="H48" s="764"/>
      <c r="I48" s="764"/>
      <c r="J48" s="216"/>
      <c r="K48" s="212"/>
      <c r="L48" s="212"/>
      <c r="M48" s="227"/>
      <c r="N48" s="202"/>
      <c r="O48" s="202"/>
      <c r="P48" s="224"/>
      <c r="Q48" s="202"/>
      <c r="R48" s="230"/>
      <c r="S48" s="62"/>
    </row>
    <row r="49" spans="1:19" s="9" customFormat="1" ht="9" customHeight="1">
      <c r="A49" s="730"/>
      <c r="B49" s="760"/>
      <c r="C49" s="762"/>
      <c r="D49" s="181">
        <f>IF($C48="","",IF(AND($C48&gt;=1,$C48&lt;33),INDEX(ПодгПар!$AL$6:$AL$37,$C48,1),"Х"))</f>
      </c>
      <c r="E49" s="182">
        <f>IF($C48="","",IF(AND($C48&gt;=1,$C48&lt;33),INDEX(ПодгПар!$AJ$6:$AJ$37,$C48,1),""))</f>
      </c>
      <c r="F49" s="183">
        <f>IF($C48="","",IF(AND($C48&gt;=1,$C48&lt;33),INDEX(ПодгПар!$K$6:$K$37,$C48,1),""))</f>
      </c>
      <c r="G49" s="766" t="str">
        <f>IF(G50=0,CONCATENATE(D50,",",D51),IF(G50=1,D49,IF(G50=2,D51,"Х")))</f>
        <v>,</v>
      </c>
      <c r="H49" s="767"/>
      <c r="I49" s="767"/>
      <c r="J49" s="211"/>
      <c r="K49" s="215"/>
      <c r="L49" s="215"/>
      <c r="M49" s="226"/>
      <c r="N49" s="202"/>
      <c r="O49" s="202"/>
      <c r="P49" s="224"/>
      <c r="Q49" s="202"/>
      <c r="R49" s="230"/>
      <c r="S49" s="62"/>
    </row>
    <row r="50" spans="1:19" s="9" customFormat="1" ht="9" customHeight="1">
      <c r="A50" s="729">
        <f>IF($C50="","",IF(AND($C50&gt;=1,$C50&lt;33),INDEX(ПодгПар!$P$6:$P$37,$C50),""))</f>
      </c>
      <c r="B50" s="769">
        <v>14</v>
      </c>
      <c r="C50" s="788"/>
      <c r="D50" s="184">
        <f>IF($C50="","",IF(AND($C50&gt;=1,$C50&lt;33),INDEX(ПодгПар!$AB$6:$AB$37,$C50,1),"Х"))</f>
      </c>
      <c r="E50" s="185">
        <f>IF($C50="","",IF(AND($C50&gt;=1,$C50&lt;33),INDEX(ПодгПар!$W$6:$W$37,$C50,1),""))</f>
      </c>
      <c r="F50" s="186">
        <f>IF($C50="","",IF(AND($C50&gt;=1,$C50&lt;33),INDEX(ПодгПар!$F$6:$F$37,$C50,1),""))</f>
      </c>
      <c r="G50" s="196"/>
      <c r="H50" s="773"/>
      <c r="I50" s="790"/>
      <c r="J50" s="213"/>
      <c r="K50" s="215"/>
      <c r="L50" s="215"/>
      <c r="M50" s="226"/>
      <c r="N50" s="202"/>
      <c r="O50" s="202"/>
      <c r="P50" s="224"/>
      <c r="Q50" s="202"/>
      <c r="R50" s="230"/>
      <c r="S50" s="62"/>
    </row>
    <row r="51" spans="1:19" s="9" customFormat="1" ht="9" customHeight="1" thickBot="1">
      <c r="A51" s="748"/>
      <c r="B51" s="770"/>
      <c r="C51" s="789"/>
      <c r="D51" s="187">
        <f>IF($C50="","",IF(AND($C50&gt;=1,$C50&lt;33),INDEX(ПодгПар!$AL$6:$AL$37,$C50,1),"Х"))</f>
      </c>
      <c r="E51" s="188">
        <f>IF($C50="","",IF(AND($C50&gt;=1,$C50&lt;33),INDEX(ПодгПар!$AJ$6:$AJ$37,$C50,1),""))</f>
      </c>
      <c r="F51" s="189">
        <f>IF($C50="","",IF(AND($C50&gt;=1,$C50&lt;33),INDEX(ПодгПар!$K$6:$K$37,$C50,1),""))</f>
      </c>
      <c r="G51" s="197"/>
      <c r="H51" s="198"/>
      <c r="I51" s="199"/>
      <c r="J51" s="774" t="str">
        <f>IF(J53=0,CONCATENATE("поб.",G48,",",G49),IF(J53=1,G48,IF(J53=2,G54,"Х")))</f>
        <v>поб.поб.,,,</v>
      </c>
      <c r="K51" s="775"/>
      <c r="L51" s="775"/>
      <c r="M51" s="226"/>
      <c r="N51" s="202"/>
      <c r="O51" s="202"/>
      <c r="P51" s="224"/>
      <c r="Q51" s="202"/>
      <c r="R51" s="230"/>
      <c r="S51" s="62"/>
    </row>
    <row r="52" spans="1:19" s="9" customFormat="1" ht="9" customHeight="1">
      <c r="A52" s="776"/>
      <c r="B52" s="778"/>
      <c r="C52" s="780"/>
      <c r="D52" s="782"/>
      <c r="E52" s="190"/>
      <c r="F52" s="782"/>
      <c r="G52" s="200"/>
      <c r="H52" s="198"/>
      <c r="I52" s="199"/>
      <c r="J52" s="784" t="str">
        <f>IF(J53=0,CONCATENATE(G54,",",G55),IF(J53=1,G49,IF(J53=2,G55,"Х")))</f>
        <v>поб.,,,</v>
      </c>
      <c r="K52" s="785"/>
      <c r="L52" s="786"/>
      <c r="M52" s="226"/>
      <c r="N52" s="202"/>
      <c r="O52" s="202"/>
      <c r="P52" s="224"/>
      <c r="Q52" s="202"/>
      <c r="R52" s="230"/>
      <c r="S52" s="62"/>
    </row>
    <row r="53" spans="1:19" s="9" customFormat="1" ht="9" customHeight="1" thickBot="1">
      <c r="A53" s="777"/>
      <c r="B53" s="779"/>
      <c r="C53" s="781"/>
      <c r="D53" s="783"/>
      <c r="E53" s="191"/>
      <c r="F53" s="783"/>
      <c r="G53" s="200"/>
      <c r="H53" s="198"/>
      <c r="I53" s="199"/>
      <c r="J53" s="214"/>
      <c r="K53" s="787"/>
      <c r="L53" s="787"/>
      <c r="M53" s="225"/>
      <c r="N53" s="228"/>
      <c r="O53" s="228"/>
      <c r="P53" s="225"/>
      <c r="Q53" s="202"/>
      <c r="R53" s="230"/>
      <c r="S53" s="62"/>
    </row>
    <row r="54" spans="1:19" s="9" customFormat="1" ht="9" customHeight="1">
      <c r="A54" s="758">
        <f>IF($C54="","",IF($C54="Х","",INDEX(ПодгПар!$P$6:$P$37,$C54)))</f>
      </c>
      <c r="B54" s="759">
        <v>15</v>
      </c>
      <c r="C54" s="761"/>
      <c r="D54" s="178">
        <f>IF($C54="","",IF(AND($C54&gt;=1,$C54&lt;33),INDEX(ПодгПар!$AB$6:$AB$37,$C54,1),"Х"))</f>
      </c>
      <c r="E54" s="179">
        <f>IF($C54="","",IF(AND($C54&gt;=1,$C54&lt;33),INDEX(ПодгПар!$W$6:$W$37,$C54,1),""))</f>
      </c>
      <c r="F54" s="180">
        <f>IF($C54="","",IF(AND($C54&gt;=1,$C54&lt;33),INDEX(ПодгПар!$F$6:$F$37,$C54,1),""))</f>
      </c>
      <c r="G54" s="763" t="str">
        <f>IF(G56=0,CONCATENATE("поб.",D54,",",D55),IF(G56=1,D54,IF(G56=2,D56,"Х")))</f>
        <v>поб.,</v>
      </c>
      <c r="H54" s="764"/>
      <c r="I54" s="765"/>
      <c r="J54" s="211"/>
      <c r="K54" s="212"/>
      <c r="L54" s="212"/>
      <c r="M54" s="225"/>
      <c r="N54" s="228"/>
      <c r="O54" s="228"/>
      <c r="P54" s="225"/>
      <c r="Q54" s="202"/>
      <c r="R54" s="230"/>
      <c r="S54" s="62"/>
    </row>
    <row r="55" spans="1:19" s="9" customFormat="1" ht="9" customHeight="1">
      <c r="A55" s="730"/>
      <c r="B55" s="760"/>
      <c r="C55" s="762"/>
      <c r="D55" s="181">
        <f>IF($C54="","",IF(AND($C54&gt;=1,$C54&lt;33),INDEX(ПодгПар!$AL$6:$AL$37,$C54,1),"Х"))</f>
      </c>
      <c r="E55" s="182">
        <f>IF($C54="","",IF(AND($C54&gt;=1,$C54&lt;33),INDEX(ПодгПар!$AJ$6:$AJ$37,$C54,1),""))</f>
      </c>
      <c r="F55" s="183">
        <f>IF($C54="","",IF(AND($C54&gt;=1,$C54&lt;33),INDEX(ПодгПар!$K$6:$K$37,$C54,1),""))</f>
      </c>
      <c r="G55" s="766" t="str">
        <f>IF(G56=0,CONCATENATE(D56,",",D57),IF(G56=1,D55,IF(G56=2,D57,"Х")))</f>
        <v>,</v>
      </c>
      <c r="H55" s="767"/>
      <c r="I55" s="768"/>
      <c r="J55" s="211"/>
      <c r="K55" s="212"/>
      <c r="L55" s="212"/>
      <c r="M55" s="224"/>
      <c r="N55" s="202"/>
      <c r="O55" s="202"/>
      <c r="P55" s="224"/>
      <c r="Q55" s="202"/>
      <c r="R55" s="230"/>
      <c r="S55" s="62"/>
    </row>
    <row r="56" spans="1:19" s="9" customFormat="1" ht="9" customHeight="1">
      <c r="A56" s="729" t="str">
        <f>IF($C56="","5,6,7 или 8",IF(AND($C56&gt;=1,$C56&lt;33),INDEX(ПодгПар!$P$6:$P$37,$C56),""))</f>
        <v>5,6,7 или 8</v>
      </c>
      <c r="B56" s="769">
        <v>16</v>
      </c>
      <c r="C56" s="771"/>
      <c r="D56" s="184">
        <f>IF($C56="","",IF(AND($C56&gt;=1,$C56&lt;33),INDEX(ПодгПар!$AB$6:$AB$37,$C56,1),"Х"))</f>
      </c>
      <c r="E56" s="185">
        <f>IF($C56="","",IF(AND($C56&gt;=1,$C56&lt;33),INDEX(ПодгПар!$W$6:$W$37,$C56,1),""))</f>
      </c>
      <c r="F56" s="186">
        <f>IF($C56="","",IF(AND($C56&gt;=1,$C56&lt;33),INDEX(ПодгПар!$F$6:$F$37,$C56,1),""))</f>
      </c>
      <c r="G56" s="196"/>
      <c r="H56" s="773"/>
      <c r="I56" s="773"/>
      <c r="J56" s="217"/>
      <c r="K56" s="212"/>
      <c r="L56" s="212"/>
      <c r="M56" s="224"/>
      <c r="N56" s="202"/>
      <c r="O56" s="202"/>
      <c r="P56" s="224"/>
      <c r="Q56" s="202"/>
      <c r="R56" s="230"/>
      <c r="S56" s="62"/>
    </row>
    <row r="57" spans="1:19" s="9" customFormat="1" ht="9" customHeight="1" thickBot="1">
      <c r="A57" s="748"/>
      <c r="B57" s="770"/>
      <c r="C57" s="772"/>
      <c r="D57" s="187">
        <f>IF($C56="","",IF(AND($C56&gt;=1,$C56&lt;33),INDEX(ПодгПар!$AL$6:$AL$37,$C56,1),"Х"))</f>
      </c>
      <c r="E57" s="188">
        <f>IF($C56="","",IF(AND($C56&gt;=1,$C56&lt;33),INDEX(ПодгПар!$AJ$6:$AJ$37,$C56,1),""))</f>
      </c>
      <c r="F57" s="189">
        <f>IF($C56="","",IF(AND($C56&gt;=1,$C56&lt;33),INDEX(ПодгПар!$K$6:$K$37,$C56,1),""))</f>
      </c>
      <c r="G57" s="201"/>
      <c r="H57" s="198"/>
      <c r="I57" s="198"/>
      <c r="J57" s="193"/>
      <c r="K57" s="215"/>
      <c r="L57" s="215"/>
      <c r="M57" s="225"/>
      <c r="N57" s="202"/>
      <c r="O57" s="202"/>
      <c r="P57" s="224"/>
      <c r="Q57" s="792">
        <f>IF(P59=0,"",IF(P59=1,P33,IF(P59=2,P81,"Х")))</f>
      </c>
      <c r="R57" s="829"/>
      <c r="S57" s="72"/>
    </row>
    <row r="58" spans="1:19" s="9" customFormat="1" ht="9" customHeight="1">
      <c r="A58" s="108"/>
      <c r="B58" s="109"/>
      <c r="C58" s="235"/>
      <c r="D58" s="179"/>
      <c r="E58" s="179"/>
      <c r="F58" s="179"/>
      <c r="G58" s="197"/>
      <c r="H58" s="198"/>
      <c r="I58" s="198"/>
      <c r="J58" s="193"/>
      <c r="K58" s="215"/>
      <c r="L58" s="215"/>
      <c r="M58" s="225"/>
      <c r="N58" s="202"/>
      <c r="O58" s="202"/>
      <c r="P58" s="224"/>
      <c r="Q58" s="800">
        <f>IF(P59=0,"",IF(P59=1,P34,IF(P59=2,P82,"Х")))</f>
      </c>
      <c r="R58" s="830"/>
      <c r="S58" s="72"/>
    </row>
    <row r="59" spans="1:19" s="9" customFormat="1" ht="9" customHeight="1" thickBot="1">
      <c r="A59" s="110"/>
      <c r="B59" s="111"/>
      <c r="C59" s="236"/>
      <c r="D59" s="188"/>
      <c r="E59" s="188"/>
      <c r="F59" s="188"/>
      <c r="G59" s="197"/>
      <c r="H59" s="198"/>
      <c r="I59" s="198"/>
      <c r="J59" s="193"/>
      <c r="K59" s="215"/>
      <c r="L59" s="215"/>
      <c r="M59" s="225"/>
      <c r="N59" s="202"/>
      <c r="O59" s="202"/>
      <c r="P59" s="232"/>
      <c r="Q59" s="831"/>
      <c r="R59" s="832"/>
      <c r="S59" s="72"/>
    </row>
    <row r="60" spans="1:18" s="53" customFormat="1" ht="9" customHeight="1">
      <c r="A60" s="758" t="str">
        <f>IF($C60="","5,6,7 или 8",IF(AND($C60&gt;=1,$C60&lt;33),INDEX(ПодгПар!$P$6:$P$37,$C60),""))</f>
        <v>5,6,7 или 8</v>
      </c>
      <c r="B60" s="759">
        <v>17</v>
      </c>
      <c r="C60" s="796"/>
      <c r="D60" s="178">
        <f>IF($C60="","",IF(AND($C60&gt;=1,$C60&lt;33),INDEX(ПодгПар!$AB$6:$AB$37,$C60,1),"Х"))</f>
      </c>
      <c r="E60" s="179">
        <f>IF($C60="","",IF(AND($C60&gt;=1,$C60&lt;33),INDEX(ПодгПар!$W$6:$W$37,$C60,1),""))</f>
      </c>
      <c r="F60" s="180">
        <f>IF($C60="","",IF(AND($C60&gt;=1,$C60&lt;33),INDEX(ПодгПар!$F$6:$F$37,$C60,1),""))</f>
      </c>
      <c r="G60" s="763" t="str">
        <f>IF(G62=0,CONCATENATE("поб.",D60,",",D61),IF(G62=1,D60,IF(G62=2,D62,"Х")))</f>
        <v>поб.,</v>
      </c>
      <c r="H60" s="764"/>
      <c r="I60" s="764"/>
      <c r="J60" s="209"/>
      <c r="K60" s="210"/>
      <c r="L60" s="210"/>
      <c r="M60" s="223"/>
      <c r="N60" s="223"/>
      <c r="O60" s="223"/>
      <c r="P60" s="233"/>
      <c r="Q60" s="223"/>
      <c r="R60" s="234"/>
    </row>
    <row r="61" spans="1:19" s="9" customFormat="1" ht="9" customHeight="1">
      <c r="A61" s="730"/>
      <c r="B61" s="760"/>
      <c r="C61" s="797"/>
      <c r="D61" s="181">
        <f>IF($C60="","",IF(AND($C60&gt;=1,$C60&lt;33),INDEX(ПодгПар!$AL$6:$AL$37,$C60,1),"Х"))</f>
      </c>
      <c r="E61" s="182">
        <f>IF($C60="","",IF(AND($C60&gt;=1,$C60&lt;33),INDEX(ПодгПар!$AJ$6:$AJ$37,$C60,1),""))</f>
      </c>
      <c r="F61" s="183">
        <f>IF($C60="","",IF(AND($C60&gt;=1,$C60&lt;33),INDEX(ПодгПар!$K$6:$K$37,$C60,1),""))</f>
      </c>
      <c r="G61" s="766" t="str">
        <f>IF(G62=0,CONCATENATE(D62,",",D63),IF(G62=1,D61,IF(G62=2,D63,"Х")))</f>
        <v>,</v>
      </c>
      <c r="H61" s="767"/>
      <c r="I61" s="767"/>
      <c r="J61" s="211"/>
      <c r="K61" s="212"/>
      <c r="L61" s="212"/>
      <c r="M61" s="224"/>
      <c r="N61" s="202"/>
      <c r="O61" s="202"/>
      <c r="P61" s="224"/>
      <c r="Q61" s="202"/>
      <c r="R61" s="230"/>
      <c r="S61" s="62"/>
    </row>
    <row r="62" spans="1:19" s="9" customFormat="1" ht="9" customHeight="1">
      <c r="A62" s="729">
        <f>IF($C62="","",IF(AND($C62&gt;=1,$C62&lt;33),INDEX(ПодгПар!$P$6:$P$37,$C62),""))</f>
      </c>
      <c r="B62" s="769">
        <v>18</v>
      </c>
      <c r="C62" s="788"/>
      <c r="D62" s="184">
        <f>IF($C62="","",IF(AND($C62&gt;=1,$C62&lt;33),INDEX(ПодгПар!$AB$6:$AB$37,$C62,1),"Х"))</f>
      </c>
      <c r="E62" s="185">
        <f>IF($C62="","",IF(AND($C62&gt;=1,$C62&lt;33),INDEX(ПодгПар!$W$6:$W$37,$C62,1),""))</f>
      </c>
      <c r="F62" s="186">
        <f>IF($C62="","",IF(AND($C62&gt;=1,$C62&lt;33),INDEX(ПодгПар!$F$6:$F$37,$C62,1),""))</f>
      </c>
      <c r="G62" s="196"/>
      <c r="H62" s="773"/>
      <c r="I62" s="790"/>
      <c r="J62" s="213"/>
      <c r="K62" s="212"/>
      <c r="L62" s="212"/>
      <c r="M62" s="224"/>
      <c r="N62" s="202"/>
      <c r="O62" s="202"/>
      <c r="P62" s="224"/>
      <c r="Q62" s="202"/>
      <c r="R62" s="230"/>
      <c r="S62" s="62"/>
    </row>
    <row r="63" spans="1:19" s="9" customFormat="1" ht="9" customHeight="1" thickBot="1">
      <c r="A63" s="748"/>
      <c r="B63" s="770"/>
      <c r="C63" s="789"/>
      <c r="D63" s="187">
        <f>IF($C62="","",IF(AND($C62&gt;=1,$C62&lt;33),INDEX(ПодгПар!$AL$6:$AL$37,$C62,1),"Х"))</f>
      </c>
      <c r="E63" s="188">
        <f>IF($C62="","",IF(AND($C62&gt;=1,$C62&lt;33),INDEX(ПодгПар!$AJ$6:$AJ$37,$C62,1),""))</f>
      </c>
      <c r="F63" s="189">
        <f>IF($C62="","",IF(AND($C62&gt;=1,$C62&lt;33),INDEX(ПодгПар!$K$6:$K$37,$C62,1),""))</f>
      </c>
      <c r="G63" s="197"/>
      <c r="H63" s="198"/>
      <c r="I63" s="199"/>
      <c r="J63" s="774" t="str">
        <f>IF(J65=0,CONCATENATE("поб.",G60,",",G61),IF(J65=1,G60,IF(J65=2,G66,"Х")))</f>
        <v>поб.поб.,,,</v>
      </c>
      <c r="K63" s="775"/>
      <c r="L63" s="775"/>
      <c r="M63" s="225"/>
      <c r="N63" s="202"/>
      <c r="O63" s="202"/>
      <c r="P63" s="224"/>
      <c r="Q63" s="202"/>
      <c r="R63" s="230"/>
      <c r="S63" s="62"/>
    </row>
    <row r="64" spans="1:19" s="9" customFormat="1" ht="9" customHeight="1">
      <c r="A64" s="776"/>
      <c r="B64" s="778"/>
      <c r="C64" s="780"/>
      <c r="D64" s="782"/>
      <c r="E64" s="190"/>
      <c r="F64" s="782"/>
      <c r="G64" s="200"/>
      <c r="H64" s="198"/>
      <c r="I64" s="199"/>
      <c r="J64" s="784" t="str">
        <f>IF(J65=0,CONCATENATE(G66,",",G67),IF(J65=1,G61,IF(J65=2,G67,"Х")))</f>
        <v>поб.,,,</v>
      </c>
      <c r="K64" s="785"/>
      <c r="L64" s="785"/>
      <c r="M64" s="225"/>
      <c r="N64" s="202"/>
      <c r="O64" s="202"/>
      <c r="P64" s="224"/>
      <c r="Q64" s="202"/>
      <c r="R64" s="230"/>
      <c r="S64" s="62"/>
    </row>
    <row r="65" spans="1:19" s="9" customFormat="1" ht="9" customHeight="1" thickBot="1">
      <c r="A65" s="777"/>
      <c r="B65" s="779"/>
      <c r="C65" s="781"/>
      <c r="D65" s="783"/>
      <c r="E65" s="191"/>
      <c r="F65" s="783"/>
      <c r="G65" s="200"/>
      <c r="H65" s="198"/>
      <c r="I65" s="199"/>
      <c r="J65" s="214"/>
      <c r="K65" s="795"/>
      <c r="L65" s="795"/>
      <c r="M65" s="226"/>
      <c r="N65" s="202"/>
      <c r="O65" s="202"/>
      <c r="P65" s="224"/>
      <c r="Q65" s="202"/>
      <c r="R65" s="230"/>
      <c r="S65" s="62"/>
    </row>
    <row r="66" spans="1:19" s="9" customFormat="1" ht="9" customHeight="1">
      <c r="A66" s="758">
        <f>IF($C66="","",IF(AND($C66&gt;=1,$C66&lt;33),INDEX(ПодгПар!$P$6:$P$37,$C66),""))</f>
      </c>
      <c r="B66" s="759">
        <v>19</v>
      </c>
      <c r="C66" s="761"/>
      <c r="D66" s="178">
        <f>IF($C66="","",IF(AND($C66&gt;=1,$C66&lt;33),INDEX(ПодгПар!$AB$6:$AB$37,$C66,1),"Х"))</f>
      </c>
      <c r="E66" s="179">
        <f>IF($C66="","",IF(AND($C66&gt;=1,$C66&lt;33),INDEX(ПодгПар!$W$6:$W$37,$C66,1),""))</f>
      </c>
      <c r="F66" s="180">
        <f>IF($C66="","",IF(AND($C66&gt;=1,$C66&lt;33),INDEX(ПодгПар!$F$6:$F$37,$C66,1),""))</f>
      </c>
      <c r="G66" s="763" t="str">
        <f>IF(G68=0,CONCATENATE("поб.",D66,",",D67),IF(G68=1,D66,IF(G68=2,D68,"Х")))</f>
        <v>поб.,</v>
      </c>
      <c r="H66" s="764"/>
      <c r="I66" s="765"/>
      <c r="J66" s="211"/>
      <c r="K66" s="215"/>
      <c r="L66" s="215"/>
      <c r="M66" s="226"/>
      <c r="N66" s="202"/>
      <c r="O66" s="202"/>
      <c r="P66" s="224"/>
      <c r="Q66" s="202"/>
      <c r="R66" s="230"/>
      <c r="S66" s="62"/>
    </row>
    <row r="67" spans="1:19" s="9" customFormat="1" ht="9" customHeight="1">
      <c r="A67" s="730"/>
      <c r="B67" s="760"/>
      <c r="C67" s="762"/>
      <c r="D67" s="181">
        <f>IF($C66="","",IF(AND($C66&gt;=1,$C66&lt;33),INDEX(ПодгПар!$AL$6:$AL$37,$C66,1),"Х"))</f>
      </c>
      <c r="E67" s="182">
        <f>IF($C66="","",IF(AND($C66&gt;=1,$C66&lt;33),INDEX(ПодгПар!$AJ$6:$AJ$37,$C66,1),""))</f>
      </c>
      <c r="F67" s="183">
        <f>IF($C66="","",IF(AND($C66&gt;=1,$C66&lt;33),INDEX(ПодгПар!$K$6:$K$37,$C66,1),""))</f>
      </c>
      <c r="G67" s="766" t="str">
        <f>IF(G68=0,CONCATENATE(D68,",",D69),IF(G68=1,D67,IF(G68=2,D69,"Х")))</f>
        <v>,</v>
      </c>
      <c r="H67" s="767"/>
      <c r="I67" s="768"/>
      <c r="J67" s="211"/>
      <c r="K67" s="212"/>
      <c r="L67" s="212"/>
      <c r="M67" s="227"/>
      <c r="N67" s="202"/>
      <c r="O67" s="202"/>
      <c r="P67" s="224"/>
      <c r="Q67" s="202"/>
      <c r="R67" s="230"/>
      <c r="S67" s="62"/>
    </row>
    <row r="68" spans="1:19" s="9" customFormat="1" ht="9" customHeight="1">
      <c r="A68" s="729">
        <f>IF($C68="","",IF(AND($C68&gt;=1,$C68&lt;33),INDEX(ПодгПар!$P$6:$P$37,$C68),""))</f>
      </c>
      <c r="B68" s="769">
        <v>20</v>
      </c>
      <c r="C68" s="788"/>
      <c r="D68" s="184">
        <f>IF($C68="","",IF(AND($C68&gt;=1,$C68&lt;33),INDEX(ПодгПар!$AB$6:$AB$37,$C68,1),"Х"))</f>
      </c>
      <c r="E68" s="185">
        <f>IF($C68="","",IF(AND($C68&gt;=1,$C68&lt;33),INDEX(ПодгПар!$W$6:$W$37,$C68,1),""))</f>
      </c>
      <c r="F68" s="186">
        <f>IF($C68="","",IF(AND($C68&gt;=1,$C68&lt;33),INDEX(ПодгПар!$F$6:$F$37,$C68,1),""))</f>
      </c>
      <c r="G68" s="196"/>
      <c r="H68" s="773"/>
      <c r="I68" s="773"/>
      <c r="J68" s="213"/>
      <c r="K68" s="212"/>
      <c r="L68" s="212"/>
      <c r="M68" s="227"/>
      <c r="N68" s="798"/>
      <c r="O68" s="798"/>
      <c r="P68" s="224"/>
      <c r="Q68" s="202"/>
      <c r="R68" s="230"/>
      <c r="S68" s="62"/>
    </row>
    <row r="69" spans="1:19" s="9" customFormat="1" ht="9" customHeight="1" thickBot="1">
      <c r="A69" s="748"/>
      <c r="B69" s="770"/>
      <c r="C69" s="789"/>
      <c r="D69" s="187">
        <f>IF($C68="","",IF(AND($C68&gt;=1,$C68&lt;33),INDEX(ПодгПар!$AL$6:$AL$37,$C68,1),"Х"))</f>
      </c>
      <c r="E69" s="188">
        <f>IF($C68="","",IF(AND($C68&gt;=1,$C68&lt;33),INDEX(ПодгПар!$AJ$6:$AJ$37,$C68,1),""))</f>
      </c>
      <c r="F69" s="189">
        <f>IF($C68="","",IF(AND($C68&gt;=1,$C68&lt;33),INDEX(ПодгПар!$K$6:$K$37,$C68,1),""))</f>
      </c>
      <c r="G69" s="201"/>
      <c r="H69" s="198"/>
      <c r="I69" s="198"/>
      <c r="J69" s="211"/>
      <c r="K69" s="212"/>
      <c r="L69" s="212"/>
      <c r="M69" s="791" t="str">
        <f>IF(M71=0,CONCATENATE("поб.",J63,",",J64),IF(M71=1,J63,IF(M71=2,J75,"Х")))</f>
        <v>поб.поб.поб.,,,,поб.,,,</v>
      </c>
      <c r="N69" s="792"/>
      <c r="O69" s="792"/>
      <c r="P69" s="224"/>
      <c r="Q69" s="202"/>
      <c r="R69" s="230"/>
      <c r="S69" s="62"/>
    </row>
    <row r="70" spans="1:19" s="9" customFormat="1" ht="9" customHeight="1">
      <c r="A70" s="776"/>
      <c r="B70" s="778"/>
      <c r="C70" s="780"/>
      <c r="D70" s="782"/>
      <c r="E70" s="190"/>
      <c r="F70" s="782"/>
      <c r="G70" s="200"/>
      <c r="H70" s="198"/>
      <c r="I70" s="198"/>
      <c r="J70" s="211"/>
      <c r="K70" s="212"/>
      <c r="L70" s="212"/>
      <c r="M70" s="793" t="str">
        <f>IF(M71=0,CONCATENATE(J75,",",J76),IF(M71=1,J64,IF(M71=2,J76,"Х")))</f>
        <v>поб.поб.,,,,поб.,,,</v>
      </c>
      <c r="N70" s="794"/>
      <c r="O70" s="794"/>
      <c r="P70" s="229"/>
      <c r="Q70" s="202"/>
      <c r="R70" s="230"/>
      <c r="S70" s="62"/>
    </row>
    <row r="71" spans="1:19" s="9" customFormat="1" ht="9" customHeight="1" thickBot="1">
      <c r="A71" s="777"/>
      <c r="B71" s="779"/>
      <c r="C71" s="781"/>
      <c r="D71" s="783"/>
      <c r="E71" s="191"/>
      <c r="F71" s="783"/>
      <c r="G71" s="200"/>
      <c r="H71" s="198"/>
      <c r="I71" s="198"/>
      <c r="J71" s="213"/>
      <c r="K71" s="212"/>
      <c r="L71" s="212"/>
      <c r="M71" s="205"/>
      <c r="N71" s="773"/>
      <c r="O71" s="773"/>
      <c r="P71" s="226"/>
      <c r="Q71" s="202"/>
      <c r="R71" s="230"/>
      <c r="S71" s="62"/>
    </row>
    <row r="72" spans="1:19" s="9" customFormat="1" ht="9" customHeight="1">
      <c r="A72" s="758">
        <f>IF($C72="","",IF(AND($C72&gt;=1,$C72&lt;33),INDEX(ПодгПар!$P$6:$P$37,$C72),""))</f>
      </c>
      <c r="B72" s="759">
        <v>21</v>
      </c>
      <c r="C72" s="761"/>
      <c r="D72" s="178">
        <f>IF($C72="","",IF(AND($C72&gt;=1,$C72&lt;33),INDEX(ПодгПар!$AB$6:$AB$37,$C72,1),"Х"))</f>
      </c>
      <c r="E72" s="179">
        <f>IF($C72="","",IF(AND($C72&gt;=1,$C72&lt;33),INDEX(ПодгПар!$W$6:$W$37,$C72,1),""))</f>
      </c>
      <c r="F72" s="180">
        <f>IF($C72="","",IF(AND($C72&gt;=1,$C72&lt;33),INDEX(ПодгПар!$F$6:$F$37,$C72,1),""))</f>
      </c>
      <c r="G72" s="763" t="str">
        <f>IF(G74=0,CONCATENATE("поб.",D72,",",D73),IF(G74=1,D72,IF(G74=2,D74,"Х")))</f>
        <v>поб.,</v>
      </c>
      <c r="H72" s="764"/>
      <c r="I72" s="764"/>
      <c r="J72" s="216"/>
      <c r="K72" s="212"/>
      <c r="L72" s="212"/>
      <c r="M72" s="227"/>
      <c r="N72" s="202"/>
      <c r="O72" s="202"/>
      <c r="P72" s="227"/>
      <c r="Q72" s="202"/>
      <c r="R72" s="230"/>
      <c r="S72" s="62"/>
    </row>
    <row r="73" spans="1:19" s="9" customFormat="1" ht="9" customHeight="1">
      <c r="A73" s="730"/>
      <c r="B73" s="760"/>
      <c r="C73" s="762"/>
      <c r="D73" s="181">
        <f>IF($C72="","",IF(AND($C72&gt;=1,$C72&lt;33),INDEX(ПодгПар!$AL$6:$AL$37,$C72,1),"Х"))</f>
      </c>
      <c r="E73" s="182">
        <f>IF($C72="","",IF(AND($C72&gt;=1,$C72&lt;33),INDEX(ПодгПар!$AJ$6:$AJ$37,$C72,1),""))</f>
      </c>
      <c r="F73" s="183">
        <f>IF($C72="","",IF(AND($C72&gt;=1,$C72&lt;33),INDEX(ПодгПар!$K$6:$K$37,$C72,1),""))</f>
      </c>
      <c r="G73" s="766" t="str">
        <f>IF(G74=0,CONCATENATE(D74,",",D75),IF(G74=1,D73,IF(G74=2,D75,"Х")))</f>
        <v>,</v>
      </c>
      <c r="H73" s="767"/>
      <c r="I73" s="767"/>
      <c r="J73" s="211"/>
      <c r="K73" s="215"/>
      <c r="L73" s="215"/>
      <c r="M73" s="226"/>
      <c r="N73" s="202"/>
      <c r="O73" s="202"/>
      <c r="P73" s="227"/>
      <c r="Q73" s="202"/>
      <c r="R73" s="230"/>
      <c r="S73" s="62"/>
    </row>
    <row r="74" spans="1:19" s="9" customFormat="1" ht="9" customHeight="1">
      <c r="A74" s="729">
        <f>IF($C74="","",IF(AND($C74&gt;=1,$C74&lt;33),INDEX(ПодгПар!$P$6:$P$37,$C74),""))</f>
      </c>
      <c r="B74" s="769">
        <v>22</v>
      </c>
      <c r="C74" s="788"/>
      <c r="D74" s="184">
        <f>IF($C74="","",IF(AND($C74&gt;=1,$C74&lt;33),INDEX(ПодгПар!$AB$6:$AB$37,$C74,1),"Х"))</f>
      </c>
      <c r="E74" s="185">
        <f>IF($C74="","",IF(AND($C74&gt;=1,$C74&lt;33),INDEX(ПодгПар!$W$6:$W$37,$C74,1),""))</f>
      </c>
      <c r="F74" s="186">
        <f>IF($C74="","",IF(AND($C74&gt;=1,$C74&lt;33),INDEX(ПодгПар!$F$6:$F$37,$C74,1),""))</f>
      </c>
      <c r="G74" s="196"/>
      <c r="H74" s="773"/>
      <c r="I74" s="790"/>
      <c r="J74" s="213"/>
      <c r="K74" s="215"/>
      <c r="L74" s="215"/>
      <c r="M74" s="226"/>
      <c r="N74" s="202"/>
      <c r="O74" s="202"/>
      <c r="P74" s="227"/>
      <c r="Q74" s="202"/>
      <c r="R74" s="230"/>
      <c r="S74" s="62"/>
    </row>
    <row r="75" spans="1:19" s="9" customFormat="1" ht="9" customHeight="1" thickBot="1">
      <c r="A75" s="748"/>
      <c r="B75" s="770"/>
      <c r="C75" s="789"/>
      <c r="D75" s="187">
        <f>IF($C74="","",IF(AND($C74&gt;=1,$C74&lt;33),INDEX(ПодгПар!$AL$6:$AL$37,$C74,1),"Х"))</f>
      </c>
      <c r="E75" s="188">
        <f>IF($C74="","",IF(AND($C74&gt;=1,$C74&lt;33),INDEX(ПодгПар!$AJ$6:$AJ$37,$C74,1),""))</f>
      </c>
      <c r="F75" s="189">
        <f>IF($C74="","",IF(AND($C74&gt;=1,$C74&lt;33),INDEX(ПодгПар!$K$6:$K$37,$C74,1),""))</f>
      </c>
      <c r="G75" s="197"/>
      <c r="H75" s="198"/>
      <c r="I75" s="199"/>
      <c r="J75" s="774" t="str">
        <f>IF(J77=0,CONCATENATE("поб.",G72,",",G73),IF(J77=1,G72,IF(J77=2,G78,"Х")))</f>
        <v>поб.поб.,,,</v>
      </c>
      <c r="K75" s="775"/>
      <c r="L75" s="775"/>
      <c r="M75" s="226"/>
      <c r="N75" s="202"/>
      <c r="O75" s="202"/>
      <c r="P75" s="227"/>
      <c r="Q75" s="202"/>
      <c r="R75" s="230"/>
      <c r="S75" s="62"/>
    </row>
    <row r="76" spans="1:19" s="9" customFormat="1" ht="9" customHeight="1">
      <c r="A76" s="776"/>
      <c r="B76" s="778"/>
      <c r="C76" s="780"/>
      <c r="D76" s="782"/>
      <c r="E76" s="190"/>
      <c r="F76" s="782"/>
      <c r="G76" s="200"/>
      <c r="H76" s="198"/>
      <c r="I76" s="199"/>
      <c r="J76" s="784" t="str">
        <f>IF(J77=0,CONCATENATE(G78,",",G79),IF(J77=1,G73,IF(J77=2,G79,"Х")))</f>
        <v>поб.,,,</v>
      </c>
      <c r="K76" s="785"/>
      <c r="L76" s="786"/>
      <c r="M76" s="226"/>
      <c r="N76" s="202"/>
      <c r="O76" s="202"/>
      <c r="P76" s="227"/>
      <c r="Q76" s="202"/>
      <c r="R76" s="230"/>
      <c r="S76" s="62"/>
    </row>
    <row r="77" spans="1:19" s="9" customFormat="1" ht="9" customHeight="1" thickBot="1">
      <c r="A77" s="777"/>
      <c r="B77" s="779"/>
      <c r="C77" s="781"/>
      <c r="D77" s="783"/>
      <c r="E77" s="191"/>
      <c r="F77" s="783"/>
      <c r="G77" s="200"/>
      <c r="H77" s="198"/>
      <c r="I77" s="199"/>
      <c r="J77" s="214"/>
      <c r="K77" s="787"/>
      <c r="L77" s="787"/>
      <c r="M77" s="225"/>
      <c r="N77" s="202"/>
      <c r="O77" s="202"/>
      <c r="P77" s="227"/>
      <c r="Q77" s="228"/>
      <c r="R77" s="231"/>
      <c r="S77" s="62"/>
    </row>
    <row r="78" spans="1:19" s="9" customFormat="1" ht="9" customHeight="1">
      <c r="A78" s="758">
        <f>IF($C78="","",IF($C78="Х","",INDEX(ПодгПар!$P$6:$P$37,$C78)))</f>
      </c>
      <c r="B78" s="759">
        <v>23</v>
      </c>
      <c r="C78" s="761"/>
      <c r="D78" s="178">
        <f>IF($C78="","",IF(AND($C78&gt;=1,$C78&lt;33),INDEX(ПодгПар!$AB$6:$AB$37,$C78,1),"Х"))</f>
      </c>
      <c r="E78" s="179">
        <f>IF($C78="","",IF(AND($C78&gt;=1,$C78&lt;33),INDEX(ПодгПар!$W$6:$W$37,$C78,1),""))</f>
      </c>
      <c r="F78" s="180">
        <f>IF($C78="","",IF(AND($C78&gt;=1,$C78&lt;33),INDEX(ПодгПар!$F$6:$F$37,$C78,1),""))</f>
      </c>
      <c r="G78" s="763" t="str">
        <f>IF(G80=0,CONCATENATE("поб.",D78,",",D79),IF(G80=1,D78,IF(G80=2,D80,"Х")))</f>
        <v>поб.,</v>
      </c>
      <c r="H78" s="764"/>
      <c r="I78" s="765"/>
      <c r="J78" s="211"/>
      <c r="K78" s="212"/>
      <c r="L78" s="212"/>
      <c r="M78" s="224"/>
      <c r="N78" s="202"/>
      <c r="O78" s="202"/>
      <c r="P78" s="227"/>
      <c r="Q78" s="228"/>
      <c r="R78" s="231"/>
      <c r="S78" s="62"/>
    </row>
    <row r="79" spans="1:19" s="9" customFormat="1" ht="9" customHeight="1">
      <c r="A79" s="730"/>
      <c r="B79" s="760"/>
      <c r="C79" s="762"/>
      <c r="D79" s="181">
        <f>IF($C78="","",IF(AND($C78&gt;=1,$C78&lt;33),INDEX(ПодгПар!$AL$6:$AL$37,$C78,1),"Х"))</f>
      </c>
      <c r="E79" s="182">
        <f>IF($C78="","",IF(AND($C78&gt;=1,$C78&lt;33),INDEX(ПодгПар!$AJ$6:$AJ$37,$C78,1),""))</f>
      </c>
      <c r="F79" s="183">
        <f>IF($C78="","",IF(AND($C78&gt;=1,$C78&lt;33),INDEX(ПодгПар!$K$6:$K$37,$C78,1),""))</f>
      </c>
      <c r="G79" s="766" t="str">
        <f>IF(G80=0,CONCATENATE(D80,",",D81),IF(G80=1,D79,IF(G80=2,D81,"Х")))</f>
        <v>,</v>
      </c>
      <c r="H79" s="767"/>
      <c r="I79" s="768"/>
      <c r="J79" s="211"/>
      <c r="K79" s="212"/>
      <c r="L79" s="212"/>
      <c r="M79" s="224"/>
      <c r="N79" s="202"/>
      <c r="O79" s="202"/>
      <c r="P79" s="227"/>
      <c r="Q79" s="202"/>
      <c r="R79" s="230"/>
      <c r="S79" s="62"/>
    </row>
    <row r="80" spans="1:19" s="9" customFormat="1" ht="9" customHeight="1">
      <c r="A80" s="729" t="str">
        <f>IF($C80="","3 или 4",IF(AND($C80&gt;=1,$C80&lt;33),INDEX(ПодгПар!$P$6:$P$37,$C80),""))</f>
        <v>3 или 4</v>
      </c>
      <c r="B80" s="769">
        <v>24</v>
      </c>
      <c r="C80" s="771"/>
      <c r="D80" s="184">
        <f>IF($C80="","",IF(AND($C80&gt;=1,$C80&lt;33),INDEX(ПодгПар!$AB$6:$AB$37,$C80,1),"Х"))</f>
      </c>
      <c r="E80" s="185">
        <f>IF($C80="","",IF(AND($C80&gt;=1,$C80&lt;33),INDEX(ПодгПар!$W$6:$W$37,$C80,1),""))</f>
      </c>
      <c r="F80" s="186">
        <f>IF($C80="","",IF(AND($C80&gt;=1,$C80&lt;33),INDEX(ПодгПар!$F$6:$F$37,$C80,1),""))</f>
      </c>
      <c r="G80" s="196"/>
      <c r="H80" s="773"/>
      <c r="I80" s="773"/>
      <c r="J80" s="213"/>
      <c r="K80" s="212"/>
      <c r="L80" s="212"/>
      <c r="M80" s="224"/>
      <c r="N80" s="202"/>
      <c r="O80" s="202"/>
      <c r="P80" s="227"/>
      <c r="Q80" s="202"/>
      <c r="R80" s="230"/>
      <c r="S80" s="62"/>
    </row>
    <row r="81" spans="1:19" s="9" customFormat="1" ht="9" customHeight="1" thickBot="1">
      <c r="A81" s="748"/>
      <c r="B81" s="770"/>
      <c r="C81" s="772"/>
      <c r="D81" s="187">
        <f>IF($C80="","",IF(AND($C80&gt;=1,$C80&lt;33),INDEX(ПодгПар!$AL$6:$AL$37,$C80,1),"Х"))</f>
      </c>
      <c r="E81" s="188">
        <f>IF($C80="","",IF(AND($C80&gt;=1,$C80&lt;33),INDEX(ПодгПар!$AJ$6:$AJ$37,$C80,1),""))</f>
      </c>
      <c r="F81" s="189">
        <f>IF($C80="","",IF(AND($C80&gt;=1,$C80&lt;33),INDEX(ПодгПар!$K$6:$K$37,$C80,1),""))</f>
      </c>
      <c r="G81" s="201"/>
      <c r="H81" s="198"/>
      <c r="I81" s="198"/>
      <c r="J81" s="211"/>
      <c r="K81" s="215"/>
      <c r="L81" s="215"/>
      <c r="M81" s="225"/>
      <c r="N81" s="202"/>
      <c r="O81" s="202"/>
      <c r="P81" s="791" t="str">
        <f>IF(P83=0,CONCATENATE("поб.",M69,",",M70),IF(P83=1,M69,IF(P83=2,M93,"Х")))</f>
        <v>поб.поб.поб.поб.,,,,поб.,,,,поб.поб.,,,,поб.,,,</v>
      </c>
      <c r="Q81" s="792"/>
      <c r="R81" s="829"/>
      <c r="S81" s="62"/>
    </row>
    <row r="82" spans="1:19" s="9" customFormat="1" ht="9" customHeight="1">
      <c r="A82" s="776"/>
      <c r="B82" s="778"/>
      <c r="C82" s="780"/>
      <c r="D82" s="782"/>
      <c r="E82" s="190"/>
      <c r="F82" s="782"/>
      <c r="G82" s="200"/>
      <c r="H82" s="198"/>
      <c r="I82" s="198"/>
      <c r="J82" s="211"/>
      <c r="K82" s="215"/>
      <c r="L82" s="215"/>
      <c r="M82" s="225"/>
      <c r="N82" s="202"/>
      <c r="O82" s="202"/>
      <c r="P82" s="799" t="str">
        <f>IF(P83=0,CONCATENATE(M93,",",M94),IF(P83=1,M70,IF(P83=2,M94,"Х")))</f>
        <v>поб.поб.поб.,,,,поб.,,,,поб.поб.,,,,поб.,,ПАНЬКОВА,ТАРАНОВА</v>
      </c>
      <c r="Q82" s="800"/>
      <c r="R82" s="830"/>
      <c r="S82" s="62"/>
    </row>
    <row r="83" spans="1:19" s="9" customFormat="1" ht="9" customHeight="1" thickBot="1">
      <c r="A83" s="777"/>
      <c r="B83" s="779"/>
      <c r="C83" s="781"/>
      <c r="D83" s="783"/>
      <c r="E83" s="191"/>
      <c r="F83" s="783"/>
      <c r="G83" s="200"/>
      <c r="H83" s="198"/>
      <c r="I83" s="198"/>
      <c r="J83" s="213"/>
      <c r="K83" s="212"/>
      <c r="L83" s="212"/>
      <c r="M83" s="224"/>
      <c r="N83" s="202"/>
      <c r="O83" s="202"/>
      <c r="P83" s="205"/>
      <c r="Q83" s="773"/>
      <c r="R83" s="773"/>
      <c r="S83" s="62"/>
    </row>
    <row r="84" spans="1:19" s="9" customFormat="1" ht="9" customHeight="1">
      <c r="A84" s="758" t="str">
        <f>IF($C84="","5,6,7 или 8",IF(AND($C84&gt;=1,$C84&lt;33),INDEX(ПодгПар!$P$6:$P$37,$C84),""))</f>
        <v>5,6,7 или 8</v>
      </c>
      <c r="B84" s="759">
        <v>25</v>
      </c>
      <c r="C84" s="796"/>
      <c r="D84" s="178">
        <f>IF($C84="","",IF(AND($C84&gt;=1,$C84&lt;33),INDEX(ПодгПар!$AB$6:$AB$37,$C84,1),"Х"))</f>
      </c>
      <c r="E84" s="179">
        <f>IF($C84="","",IF(AND($C84&gt;=1,$C84&lt;33),INDEX(ПодгПар!$W$6:$W$37,$C84,1),""))</f>
      </c>
      <c r="F84" s="180">
        <f>IF($C84="","",IF(AND($C84&gt;=1,$C84&lt;33),INDEX(ПодгПар!$F$6:$F$37,$C84,1),""))</f>
      </c>
      <c r="G84" s="763" t="str">
        <f>IF(G86=0,CONCATENATE("поб.",D84,",",D85),IF(G86=1,D84,IF(G86=2,D86,"Х")))</f>
        <v>поб.,</v>
      </c>
      <c r="H84" s="764"/>
      <c r="I84" s="764"/>
      <c r="J84" s="216"/>
      <c r="K84" s="212"/>
      <c r="L84" s="212"/>
      <c r="M84" s="224"/>
      <c r="N84" s="202"/>
      <c r="O84" s="202"/>
      <c r="P84" s="227"/>
      <c r="Q84" s="202"/>
      <c r="R84" s="202"/>
      <c r="S84" s="62"/>
    </row>
    <row r="85" spans="1:19" s="9" customFormat="1" ht="9" customHeight="1">
      <c r="A85" s="730"/>
      <c r="B85" s="760"/>
      <c r="C85" s="797"/>
      <c r="D85" s="181">
        <f>IF($C84="","",IF(AND($C84&gt;=1,$C84&lt;33),INDEX(ПодгПар!$AL$6:$AL$37,$C84,1),"Х"))</f>
      </c>
      <c r="E85" s="182">
        <f>IF($C84="","",IF(AND($C84&gt;=1,$C84&lt;33),INDEX(ПодгПар!$AJ$6:$AJ$37,$C84,1),""))</f>
      </c>
      <c r="F85" s="183">
        <f>IF($C84="","",IF(AND($C84&gt;=1,$C84&lt;33),INDEX(ПодгПар!$K$6:$K$37,$C84,1),""))</f>
      </c>
      <c r="G85" s="766" t="str">
        <f>IF(G86=0,CONCATENATE(D86,",",D87),IF(G86=1,D85,IF(G86=2,D87,"Х")))</f>
        <v>,</v>
      </c>
      <c r="H85" s="767"/>
      <c r="I85" s="767"/>
      <c r="J85" s="211"/>
      <c r="K85" s="212"/>
      <c r="L85" s="212"/>
      <c r="M85" s="224"/>
      <c r="N85" s="228"/>
      <c r="O85" s="228"/>
      <c r="P85" s="226"/>
      <c r="Q85" s="202"/>
      <c r="R85" s="202"/>
      <c r="S85" s="62"/>
    </row>
    <row r="86" spans="1:19" s="9" customFormat="1" ht="9" customHeight="1">
      <c r="A86" s="729">
        <f>IF($C86="","",IF($C86="Х","",INDEX(ПодгПар!$P$6:$P$37,$C86)))</f>
      </c>
      <c r="B86" s="769">
        <v>26</v>
      </c>
      <c r="C86" s="788"/>
      <c r="D86" s="184">
        <f>IF($C86="","",IF(AND($C86&gt;=1,$C86&lt;33),INDEX(ПодгПар!$AB$6:$AB$37,$C86,1),"Х"))</f>
      </c>
      <c r="E86" s="185">
        <f>IF($C86="","",IF(AND($C86&gt;=1,$C86&lt;33),INDEX(ПодгПар!$W$6:$W$37,$C86,1),""))</f>
      </c>
      <c r="F86" s="186">
        <f>IF($C86="","",IF(AND($C86&gt;=1,$C86&lt;33),INDEX(ПодгПар!$F$6:$F$37,$C86,1),""))</f>
      </c>
      <c r="G86" s="196"/>
      <c r="H86" s="773"/>
      <c r="I86" s="790"/>
      <c r="J86" s="213"/>
      <c r="K86" s="212"/>
      <c r="L86" s="212"/>
      <c r="M86" s="224"/>
      <c r="N86" s="228"/>
      <c r="O86" s="228"/>
      <c r="P86" s="226"/>
      <c r="Q86" s="202"/>
      <c r="R86" s="202"/>
      <c r="S86" s="62"/>
    </row>
    <row r="87" spans="1:19" s="9" customFormat="1" ht="9" customHeight="1" thickBot="1">
      <c r="A87" s="748"/>
      <c r="B87" s="770"/>
      <c r="C87" s="789"/>
      <c r="D87" s="187">
        <f>IF($C86="","",IF(AND($C86&gt;=1,$C86&lt;33),INDEX(ПодгПар!$AL$6:$AL$37,$C86,1),"Х"))</f>
      </c>
      <c r="E87" s="188">
        <f>IF($C86="","",IF(AND($C86&gt;=1,$C86&lt;33),INDEX(ПодгПар!$AJ$6:$AJ$37,$C86,1),""))</f>
      </c>
      <c r="F87" s="189">
        <f>IF($C86="","",IF(AND($C86&gt;=1,$C86&lt;33),INDEX(ПодгПар!$K$6:$K$37,$C86,1),""))</f>
      </c>
      <c r="G87" s="197"/>
      <c r="H87" s="198"/>
      <c r="I87" s="199"/>
      <c r="J87" s="774" t="str">
        <f>IF(J89=0,CONCATENATE("поб.",G84,",",G85),IF(J89=1,G84,IF(J89=2,G90,"Х")))</f>
        <v>поб.поб.,,,</v>
      </c>
      <c r="K87" s="775"/>
      <c r="L87" s="775"/>
      <c r="M87" s="225"/>
      <c r="N87" s="202"/>
      <c r="O87" s="202"/>
      <c r="P87" s="227"/>
      <c r="Q87" s="202"/>
      <c r="R87" s="202"/>
      <c r="S87" s="62"/>
    </row>
    <row r="88" spans="1:19" s="9" customFormat="1" ht="9" customHeight="1">
      <c r="A88" s="776"/>
      <c r="B88" s="778"/>
      <c r="C88" s="780"/>
      <c r="D88" s="782"/>
      <c r="E88" s="190"/>
      <c r="F88" s="782"/>
      <c r="G88" s="200"/>
      <c r="H88" s="198"/>
      <c r="I88" s="199"/>
      <c r="J88" s="784" t="str">
        <f>IF(J89=0,CONCATENATE(G90,",",G91),IF(J89=1,G85,IF(J89=2,G91,"Х")))</f>
        <v>поб.,,,</v>
      </c>
      <c r="K88" s="785"/>
      <c r="L88" s="785"/>
      <c r="M88" s="225"/>
      <c r="N88" s="202"/>
      <c r="O88" s="202"/>
      <c r="P88" s="227"/>
      <c r="Q88" s="202"/>
      <c r="R88" s="202"/>
      <c r="S88" s="62"/>
    </row>
    <row r="89" spans="1:19" s="9" customFormat="1" ht="9" customHeight="1" thickBot="1">
      <c r="A89" s="777"/>
      <c r="B89" s="779"/>
      <c r="C89" s="781"/>
      <c r="D89" s="783"/>
      <c r="E89" s="191"/>
      <c r="F89" s="783"/>
      <c r="G89" s="200"/>
      <c r="H89" s="198"/>
      <c r="I89" s="199"/>
      <c r="J89" s="214"/>
      <c r="K89" s="795"/>
      <c r="L89" s="795"/>
      <c r="M89" s="226"/>
      <c r="N89" s="202"/>
      <c r="O89" s="202"/>
      <c r="P89" s="227"/>
      <c r="Q89" s="202"/>
      <c r="R89" s="202"/>
      <c r="S89" s="62"/>
    </row>
    <row r="90" spans="1:19" s="9" customFormat="1" ht="9" customHeight="1">
      <c r="A90" s="758">
        <f>IF($C90="","",IF(AND($C90&gt;=1,$C90&lt;33),INDEX(ПодгПар!$P$6:$P$37,$C90),""))</f>
      </c>
      <c r="B90" s="759">
        <v>27</v>
      </c>
      <c r="C90" s="761"/>
      <c r="D90" s="178">
        <f>IF($C90="","",IF(AND($C90&gt;=1,$C90&lt;33),INDEX(ПодгПар!$AB$6:$AB$37,$C90,1),"Х"))</f>
      </c>
      <c r="E90" s="179">
        <f>IF($C90="","",IF(AND($C90&gt;=1,$C90&lt;33),INDEX(ПодгПар!$W$6:$W$37,$C90,1),""))</f>
      </c>
      <c r="F90" s="180">
        <f>IF($C90="","",IF(AND($C90&gt;=1,$C90&lt;33),INDEX(ПодгПар!$F$6:$F$37,$C90,1),""))</f>
      </c>
      <c r="G90" s="763" t="str">
        <f>IF(G92=0,CONCATENATE("поб.",D90,",",D91),IF(G92=1,D90,IF(G92=2,D92,"Х")))</f>
        <v>поб.,</v>
      </c>
      <c r="H90" s="764"/>
      <c r="I90" s="765"/>
      <c r="J90" s="211"/>
      <c r="K90" s="215"/>
      <c r="L90" s="215"/>
      <c r="M90" s="226"/>
      <c r="N90" s="202"/>
      <c r="O90" s="202"/>
      <c r="P90" s="227"/>
      <c r="Q90" s="202"/>
      <c r="R90" s="202"/>
      <c r="S90" s="62"/>
    </row>
    <row r="91" spans="1:19" s="9" customFormat="1" ht="9" customHeight="1">
      <c r="A91" s="730"/>
      <c r="B91" s="760"/>
      <c r="C91" s="762"/>
      <c r="D91" s="181">
        <f>IF($C90="","",IF(AND($C90&gt;=1,$C90&lt;33),INDEX(ПодгПар!$AL$6:$AL$37,$C90,1),"Х"))</f>
      </c>
      <c r="E91" s="182">
        <f>IF($C90="","",IF(AND($C90&gt;=1,$C90&lt;33),INDEX(ПодгПар!$AJ$6:$AJ$37,$C90,1),""))</f>
      </c>
      <c r="F91" s="183">
        <f>IF($C90="","",IF(AND($C90&gt;=1,$C90&lt;33),INDEX(ПодгПар!$K$6:$K$37,$C90,1),""))</f>
      </c>
      <c r="G91" s="766" t="str">
        <f>IF(G92=0,CONCATENATE(D92,",",D93),IF(G92=1,D91,IF(G92=2,D93,"Х")))</f>
        <v>,</v>
      </c>
      <c r="H91" s="767"/>
      <c r="I91" s="768"/>
      <c r="J91" s="211"/>
      <c r="K91" s="212"/>
      <c r="L91" s="212"/>
      <c r="M91" s="227"/>
      <c r="N91" s="202"/>
      <c r="O91" s="202"/>
      <c r="P91" s="227"/>
      <c r="Q91" s="202"/>
      <c r="R91" s="202"/>
      <c r="S91" s="72"/>
    </row>
    <row r="92" spans="1:19" s="9" customFormat="1" ht="9" customHeight="1">
      <c r="A92" s="729">
        <f>IF($C92="","",IF(AND($C92&gt;=1,$C92&lt;33),INDEX(ПодгПар!$P$6:$P$37,$C92),""))</f>
      </c>
      <c r="B92" s="769">
        <v>28</v>
      </c>
      <c r="C92" s="788"/>
      <c r="D92" s="184">
        <f>IF($C92="","",IF(AND($C92&gt;=1,$C92&lt;33),INDEX(ПодгПар!$AB$6:$AB$37,$C92,1),"Х"))</f>
      </c>
      <c r="E92" s="185">
        <f>IF($C92="","",IF(AND($C92&gt;=1,$C92&lt;33),INDEX(ПодгПар!$W$6:$W$37,$C92,1),""))</f>
      </c>
      <c r="F92" s="186">
        <f>IF($C92="","",IF(AND($C92&gt;=1,$C92&lt;33),INDEX(ПодгПар!$F$6:$F$37,$C92,1),""))</f>
      </c>
      <c r="G92" s="196"/>
      <c r="H92" s="773"/>
      <c r="I92" s="773"/>
      <c r="J92" s="213"/>
      <c r="K92" s="212"/>
      <c r="L92" s="212"/>
      <c r="M92" s="227"/>
      <c r="N92" s="202"/>
      <c r="O92" s="202"/>
      <c r="P92" s="227"/>
      <c r="Q92" s="202"/>
      <c r="R92" s="202"/>
      <c r="S92" s="73"/>
    </row>
    <row r="93" spans="1:19" s="9" customFormat="1" ht="9" customHeight="1" thickBot="1">
      <c r="A93" s="748"/>
      <c r="B93" s="770"/>
      <c r="C93" s="789"/>
      <c r="D93" s="187">
        <f>IF($C92="","",IF(AND($C92&gt;=1,$C92&lt;33),INDEX(ПодгПар!$AL$6:$AL$37,$C92,1),"Х"))</f>
      </c>
      <c r="E93" s="188">
        <f>IF($C92="","",IF(AND($C92&gt;=1,$C92&lt;33),INDEX(ПодгПар!$AJ$6:$AJ$37,$C92,1),""))</f>
      </c>
      <c r="F93" s="189">
        <f>IF($C92="","",IF(AND($C92&gt;=1,$C92&lt;33),INDEX(ПодгПар!$K$6:$K$37,$C92,1),""))</f>
      </c>
      <c r="G93" s="201"/>
      <c r="H93" s="198"/>
      <c r="I93" s="198"/>
      <c r="J93" s="211"/>
      <c r="K93" s="212"/>
      <c r="L93" s="212"/>
      <c r="M93" s="791" t="str">
        <f>IF(M95=0,CONCATENATE("поб.",J87,",",J88),IF(M95=1,J87,IF(M95=2,J99,"Х")))</f>
        <v>поб.поб.поб.,,,,поб.,,,</v>
      </c>
      <c r="N93" s="792"/>
      <c r="O93" s="792"/>
      <c r="P93" s="227"/>
      <c r="Q93" s="202"/>
      <c r="R93" s="202"/>
      <c r="S93" s="73"/>
    </row>
    <row r="94" spans="1:19" s="9" customFormat="1" ht="9" customHeight="1">
      <c r="A94" s="776"/>
      <c r="B94" s="778"/>
      <c r="C94" s="780"/>
      <c r="D94" s="782"/>
      <c r="E94" s="190"/>
      <c r="F94" s="782"/>
      <c r="G94" s="200"/>
      <c r="H94" s="198"/>
      <c r="I94" s="198"/>
      <c r="J94" s="211"/>
      <c r="K94" s="212"/>
      <c r="L94" s="212"/>
      <c r="M94" s="793" t="str">
        <f>IF(M95=0,CONCATENATE(J99,",",J100),IF(M95=1,J88,IF(M95=2,J100,"Х")))</f>
        <v>поб.поб.,,,,поб.,,ПАНЬКОВА,ТАРАНОВА</v>
      </c>
      <c r="N94" s="794"/>
      <c r="O94" s="794"/>
      <c r="P94" s="227"/>
      <c r="Q94" s="228"/>
      <c r="R94" s="228"/>
      <c r="S94" s="73"/>
    </row>
    <row r="95" spans="1:19" s="9" customFormat="1" ht="9" customHeight="1" thickBot="1">
      <c r="A95" s="777"/>
      <c r="B95" s="779"/>
      <c r="C95" s="781"/>
      <c r="D95" s="783"/>
      <c r="E95" s="191"/>
      <c r="F95" s="783"/>
      <c r="G95" s="200"/>
      <c r="H95" s="198"/>
      <c r="I95" s="198"/>
      <c r="J95" s="213"/>
      <c r="K95" s="212"/>
      <c r="L95" s="212"/>
      <c r="M95" s="205"/>
      <c r="N95" s="773"/>
      <c r="O95" s="773"/>
      <c r="P95" s="225"/>
      <c r="Q95" s="228"/>
      <c r="R95" s="228"/>
      <c r="S95" s="72"/>
    </row>
    <row r="96" spans="1:19" s="9" customFormat="1" ht="9" customHeight="1">
      <c r="A96" s="758">
        <f>IF($C96="","",IF(AND($C96&gt;=1,$C96&lt;33),INDEX(ПодгПар!$P$6:$P$37,$C96),""))</f>
      </c>
      <c r="B96" s="759">
        <v>29</v>
      </c>
      <c r="C96" s="761"/>
      <c r="D96" s="178">
        <f>IF($C96="","",IF(AND($C96&gt;=1,$C96&lt;33),INDEX(ПодгПар!$AB$6:$AB$37,$C96,1),"Х"))</f>
      </c>
      <c r="E96" s="179">
        <f>IF($C96="","",IF(AND($C96&gt;=1,$C96&lt;33),INDEX(ПодгПар!$W$6:$W$37,$C96,1),""))</f>
      </c>
      <c r="F96" s="180">
        <f>IF($C96="","",IF(AND($C96&gt;=1,$C96&lt;33),INDEX(ПодгПар!$F$6:$F$37,$C96,1),""))</f>
      </c>
      <c r="G96" s="763" t="str">
        <f>IF(G98=0,CONCATENATE("поб.",D96,",",D97),IF(G98=1,D96,IF(G98=2,D98,"Х")))</f>
        <v>поб.,</v>
      </c>
      <c r="H96" s="764"/>
      <c r="I96" s="764"/>
      <c r="J96" s="216"/>
      <c r="K96" s="212"/>
      <c r="L96" s="212"/>
      <c r="M96" s="227"/>
      <c r="N96" s="202"/>
      <c r="O96" s="202"/>
      <c r="P96" s="224"/>
      <c r="Q96" s="202"/>
      <c r="R96" s="202"/>
      <c r="S96" s="62"/>
    </row>
    <row r="97" spans="1:19" s="9" customFormat="1" ht="9" customHeight="1">
      <c r="A97" s="730"/>
      <c r="B97" s="760"/>
      <c r="C97" s="762"/>
      <c r="D97" s="181">
        <f>IF($C96="","",IF(AND($C96&gt;=1,$C96&lt;33),INDEX(ПодгПар!$AL$6:$AL$37,$C96,1),"Х"))</f>
      </c>
      <c r="E97" s="182">
        <f>IF($C96="","",IF(AND($C96&gt;=1,$C96&lt;33),INDEX(ПодгПар!$AJ$6:$AJ$37,$C96,1),""))</f>
      </c>
      <c r="F97" s="183">
        <f>IF($C96="","",IF(AND($C96&gt;=1,$C96&lt;33),INDEX(ПодгПар!$K$6:$K$37,$C96,1),""))</f>
      </c>
      <c r="G97" s="766" t="str">
        <f>IF(G98=0,CONCATENATE(D98,",",D99),IF(G98=1,D97,IF(G98=2,D99,"Х")))</f>
        <v>,</v>
      </c>
      <c r="H97" s="767"/>
      <c r="I97" s="767"/>
      <c r="J97" s="211"/>
      <c r="K97" s="215"/>
      <c r="L97" s="215"/>
      <c r="M97" s="226"/>
      <c r="N97" s="202"/>
      <c r="O97" s="202"/>
      <c r="P97" s="60"/>
      <c r="Q97" s="61"/>
      <c r="R97" s="61"/>
      <c r="S97" s="62"/>
    </row>
    <row r="98" spans="1:19" s="9" customFormat="1" ht="9" customHeight="1">
      <c r="A98" s="729">
        <f>IF($C98="","",IF(AND($C98&gt;=1,$C98&lt;33),INDEX(ПодгПар!$P$6:$P$37,$C98),""))</f>
      </c>
      <c r="B98" s="769">
        <v>30</v>
      </c>
      <c r="C98" s="788"/>
      <c r="D98" s="184">
        <f>IF($C98="","",IF(AND($C98&gt;=1,$C98&lt;33),INDEX(ПодгПар!$AB$6:$AB$37,$C98,1),"Х"))</f>
      </c>
      <c r="E98" s="185">
        <f>IF($C98="","",IF(AND($C98&gt;=1,$C98&lt;33),INDEX(ПодгПар!$W$6:$W$37,$C98,1),""))</f>
      </c>
      <c r="F98" s="186">
        <f>IF($C98="","",IF(AND($C98&gt;=1,$C98&lt;33),INDEX(ПодгПар!$F$6:$F$37,$C98,1),""))</f>
      </c>
      <c r="G98" s="196"/>
      <c r="H98" s="773"/>
      <c r="I98" s="790"/>
      <c r="J98" s="213"/>
      <c r="K98" s="215"/>
      <c r="L98" s="215"/>
      <c r="M98" s="226"/>
      <c r="N98" s="202"/>
      <c r="O98" s="202"/>
      <c r="P98" s="60"/>
      <c r="Q98" s="61"/>
      <c r="R98" s="61"/>
      <c r="S98" s="62"/>
    </row>
    <row r="99" spans="1:19" s="9" customFormat="1" ht="9" customHeight="1" thickBot="1">
      <c r="A99" s="748"/>
      <c r="B99" s="770"/>
      <c r="C99" s="789"/>
      <c r="D99" s="187">
        <f>IF($C98="","",IF(AND($C98&gt;=1,$C98&lt;33),INDEX(ПодгПар!$AL$6:$AL$37,$C98,1),"Х"))</f>
      </c>
      <c r="E99" s="188">
        <f>IF($C98="","",IF(AND($C98&gt;=1,$C98&lt;33),INDEX(ПодгПар!$AJ$6:$AJ$37,$C98,1),""))</f>
      </c>
      <c r="F99" s="189">
        <f>IF($C98="","",IF(AND($C98&gt;=1,$C98&lt;33),INDEX(ПодгПар!$K$6:$K$37,$C98,1),""))</f>
      </c>
      <c r="G99" s="197"/>
      <c r="H99" s="198"/>
      <c r="I99" s="199"/>
      <c r="J99" s="774" t="str">
        <f>IF(J101=0,CONCATENATE("поб.",G96,",",G97),IF(J101=1,G96,IF(J101=2,G102,"Х")))</f>
        <v>поб.поб.,,,</v>
      </c>
      <c r="K99" s="775"/>
      <c r="L99" s="775"/>
      <c r="M99" s="226"/>
      <c r="N99" s="202"/>
      <c r="O99" s="202"/>
      <c r="P99" s="60"/>
      <c r="Q99" s="61"/>
      <c r="R99" s="61"/>
      <c r="S99" s="62"/>
    </row>
    <row r="100" spans="1:19" s="9" customFormat="1" ht="9" customHeight="1">
      <c r="A100" s="776"/>
      <c r="B100" s="778"/>
      <c r="C100" s="780"/>
      <c r="D100" s="782"/>
      <c r="E100" s="190"/>
      <c r="F100" s="782"/>
      <c r="G100" s="200"/>
      <c r="H100" s="198"/>
      <c r="I100" s="199"/>
      <c r="J100" s="784" t="str">
        <f>IF(J101=0,CONCATENATE(G102,",",G103),IF(J101=1,G97,IF(J101=2,G103,"Х")))</f>
        <v>поб.,,ПАНЬКОВА,ТАРАНОВА</v>
      </c>
      <c r="K100" s="785"/>
      <c r="L100" s="786"/>
      <c r="M100" s="226"/>
      <c r="N100" s="202"/>
      <c r="O100" s="202"/>
      <c r="P100" s="60"/>
      <c r="Q100" s="61"/>
      <c r="R100" s="61"/>
      <c r="S100" s="62"/>
    </row>
    <row r="101" spans="1:19" s="9" customFormat="1" ht="9" customHeight="1" thickBot="1">
      <c r="A101" s="777"/>
      <c r="B101" s="779"/>
      <c r="C101" s="781"/>
      <c r="D101" s="783"/>
      <c r="E101" s="191"/>
      <c r="F101" s="783"/>
      <c r="G101" s="200"/>
      <c r="H101" s="198"/>
      <c r="I101" s="199"/>
      <c r="J101" s="214"/>
      <c r="K101" s="787"/>
      <c r="L101" s="787"/>
      <c r="M101" s="225"/>
      <c r="N101" s="228"/>
      <c r="O101" s="228"/>
      <c r="P101" s="71"/>
      <c r="Q101" s="61"/>
      <c r="R101" s="61"/>
      <c r="S101" s="62"/>
    </row>
    <row r="102" spans="1:19" s="9" customFormat="1" ht="9" customHeight="1" thickBot="1">
      <c r="A102" s="758">
        <f>IF($C102="","",IF(AND($C102&gt;=1,$C102&lt;33),INDEX(ПодгПар!$P$6:$P$37,$C102),""))</f>
      </c>
      <c r="B102" s="759">
        <v>31</v>
      </c>
      <c r="C102" s="761"/>
      <c r="D102" s="178">
        <f>IF($C102="","",IF(AND($C102&gt;=1,$C102&lt;33),INDEX(ПодгПар!$AB$6:$AB$37,$C102,1),"Х"))</f>
      </c>
      <c r="E102" s="179">
        <f>IF($C102="","",IF(AND($C102&gt;=1,$C102&lt;33),INDEX(ПодгПар!$W$6:$W$37,$C102,1),""))</f>
      </c>
      <c r="F102" s="180">
        <f>IF($C102="","",IF(AND($C102&gt;=1,$C102&lt;33),INDEX(ПодгПар!$F$6:$F$37,$C102,1),""))</f>
      </c>
      <c r="G102" s="763" t="str">
        <f>IF(G104=0,CONCATENATE("поб.",D102,",",D103),IF(G104=1,D102,IF(G104=2,D104,"Х")))</f>
        <v>поб.,</v>
      </c>
      <c r="H102" s="764"/>
      <c r="I102" s="765"/>
      <c r="J102" s="211"/>
      <c r="K102" s="212"/>
      <c r="L102" s="212"/>
      <c r="M102" s="71"/>
      <c r="N102" s="61"/>
      <c r="O102" s="61"/>
      <c r="P102" s="60"/>
      <c r="Q102" s="61"/>
      <c r="R102" s="61"/>
      <c r="S102" s="62"/>
    </row>
    <row r="103" spans="1:18" s="9" customFormat="1" ht="9" customHeight="1">
      <c r="A103" s="730"/>
      <c r="B103" s="760"/>
      <c r="C103" s="762"/>
      <c r="D103" s="181">
        <f>IF($C102="","",IF(AND($C102&gt;=1,$C102&lt;33),INDEX(ПодгПар!$AL$6:$AL$37,$C102,1),"Х"))</f>
      </c>
      <c r="E103" s="182">
        <f>IF($C102="","",IF(AND($C102&gt;=1,$C102&lt;33),INDEX(ПодгПар!$AJ$6:$AJ$37,$C102,1),""))</f>
      </c>
      <c r="F103" s="183">
        <f>IF($C102="","",IF(AND($C102&gt;=1,$C102&lt;33),INDEX(ПодгПар!$K$6:$K$37,$C102,1),""))</f>
      </c>
      <c r="G103" s="766" t="str">
        <f>IF(G104=0,CONCATENATE(D104,",",D105),IF(G104=1,D103,IF(G104=2,D105,"Х")))</f>
        <v>ПАНЬКОВА,ТАРАНОВА</v>
      </c>
      <c r="H103" s="767"/>
      <c r="I103" s="768"/>
      <c r="J103" s="211"/>
      <c r="K103" s="212"/>
      <c r="L103" s="218"/>
      <c r="N103" s="733" t="s">
        <v>13</v>
      </c>
      <c r="O103" s="736" t="s">
        <v>14</v>
      </c>
      <c r="P103" s="737"/>
      <c r="Q103" s="738"/>
      <c r="R103" s="745" t="s">
        <v>22</v>
      </c>
    </row>
    <row r="104" spans="1:18" s="9" customFormat="1" ht="9" customHeight="1">
      <c r="A104" s="729" t="str">
        <f>IF($C104="","2",IF(AND($C104&gt;=1,$C104&lt;33),INDEX(ПодгПар!$P$6:$P$37,$C104),""))</f>
        <v>2 </v>
      </c>
      <c r="B104" s="769">
        <v>32</v>
      </c>
      <c r="C104" s="771">
        <v>2</v>
      </c>
      <c r="D104" s="184" t="str">
        <f>IF($C104="","",IF(AND($C104&gt;=1,$C104&lt;33),INDEX(ПодгПар!$AB$6:$AB$37,$C104,1),"Х"))</f>
        <v>ПАНЬКОВА</v>
      </c>
      <c r="E104" s="185" t="str">
        <f>IF($C104="","",IF(AND($C104&gt;=1,$C104&lt;33),INDEX(ПодгПар!$W$6:$W$37,$C104,1),""))</f>
        <v>Я.О.</v>
      </c>
      <c r="F104" s="186" t="str">
        <f>IF($C104="","",IF(AND($C104&gt;=1,$C104&lt;33),INDEX(ПодгПар!$F$6:$F$37,$C104,1),""))</f>
        <v>Екатеринбург</v>
      </c>
      <c r="G104" s="196"/>
      <c r="H104" s="773"/>
      <c r="I104" s="773"/>
      <c r="J104" s="217"/>
      <c r="K104" s="212"/>
      <c r="L104" s="218"/>
      <c r="N104" s="734"/>
      <c r="O104" s="739"/>
      <c r="P104" s="740"/>
      <c r="Q104" s="741"/>
      <c r="R104" s="746"/>
    </row>
    <row r="105" spans="1:18" s="9" customFormat="1" ht="9" customHeight="1" thickBot="1">
      <c r="A105" s="748"/>
      <c r="B105" s="770"/>
      <c r="C105" s="772"/>
      <c r="D105" s="187" t="str">
        <f>IF($C104="","",IF(AND($C104&gt;=1,$C104&lt;33),INDEX(ПодгПар!$AL$6:$AL$37,$C104,1),"Х"))</f>
        <v>ТАРАНОВА</v>
      </c>
      <c r="E105" s="188" t="str">
        <f>IF($C104="","",IF(AND($C104&gt;=1,$C104&lt;33),INDEX(ПодгПар!$AJ$6:$AJ$37,$C104,1),""))</f>
        <v>В.А.</v>
      </c>
      <c r="F105" s="189" t="str">
        <f>IF($C104="","",IF(AND($C104&gt;=1,$C104&lt;33),INDEX(ПодгПар!$K$6:$K$37,$C104,1),""))</f>
        <v>Екатеринбург</v>
      </c>
      <c r="G105" s="201"/>
      <c r="H105" s="198"/>
      <c r="I105" s="198"/>
      <c r="J105" s="193"/>
      <c r="K105" s="215"/>
      <c r="L105" s="218"/>
      <c r="N105" s="735"/>
      <c r="O105" s="742"/>
      <c r="P105" s="743"/>
      <c r="Q105" s="744"/>
      <c r="R105" s="747"/>
    </row>
    <row r="106" spans="3:18" ht="9" customHeight="1">
      <c r="C106" s="346"/>
      <c r="D106" s="192"/>
      <c r="E106" s="193"/>
      <c r="F106" s="193"/>
      <c r="G106" s="202"/>
      <c r="H106" s="202"/>
      <c r="I106" s="202"/>
      <c r="J106" s="193"/>
      <c r="K106" s="219"/>
      <c r="L106" s="220"/>
      <c r="N106" s="729">
        <f>IF(O106="","",1)</f>
        <v>1</v>
      </c>
      <c r="O106" s="726" t="str">
        <f>IF(OR(ПодгПар!L6=0,ПодгПар!P6="ОЖ"),"",ПодгПар!AB6)</f>
        <v>МАТВЕЕВА</v>
      </c>
      <c r="P106" s="727"/>
      <c r="Q106" s="728"/>
      <c r="R106" s="749">
        <f>IF(OR(ПодгПар!L6=0,ПодгПар!P6="ОЖ"),"",ПодгПар!L6)</f>
        <v>112</v>
      </c>
    </row>
    <row r="107" spans="4:18" ht="9" customHeight="1">
      <c r="D107" s="775" t="str">
        <f>IF(ПолуфиналНеявка(Q35),"Х",IF(P35=0,CONCATENATE("пр.",M21,",",M22),IF(P35=1,M45,IF(P35=2,M21,"Х"))))</f>
        <v>пр.поб.поб.поб.МАТВЕЕВА,ХАБАРОВА,,,поб.,,,,поб.поб.,,,,поб.,,,</v>
      </c>
      <c r="E107" s="775"/>
      <c r="F107" s="775"/>
      <c r="G107" s="203"/>
      <c r="H107" s="202"/>
      <c r="I107" s="202"/>
      <c r="J107" s="193"/>
      <c r="K107" s="219"/>
      <c r="L107" s="220"/>
      <c r="N107" s="730"/>
      <c r="O107" s="723" t="str">
        <f>IF(OR(ПодгПар!L6=0,ПодгПар!P6="ОЖ"),"",ПодгПар!AL6)</f>
        <v>ХАБАРОВА</v>
      </c>
      <c r="P107" s="724"/>
      <c r="Q107" s="725"/>
      <c r="R107" s="750"/>
    </row>
    <row r="108" spans="2:18" ht="9" customHeight="1">
      <c r="B108" s="79"/>
      <c r="C108" s="80"/>
      <c r="D108" s="731" t="str">
        <f>IF(ПолуфиналНеявка(Q35),"Х",IF(P35=0,CONCATENATE(M45,",",M46),IF(P35=1,M46,IF(P35=2,M22,"Х"))))</f>
        <v>поб.поб.поб.,,,,поб.,,,,поб.поб.,,,,поб.,,,</v>
      </c>
      <c r="E108" s="731"/>
      <c r="F108" s="731"/>
      <c r="G108" s="204"/>
      <c r="H108" s="826"/>
      <c r="I108" s="826"/>
      <c r="J108" s="221"/>
      <c r="K108" s="222"/>
      <c r="L108" s="220"/>
      <c r="N108" s="729">
        <f>IF(O108="","",2)</f>
        <v>2</v>
      </c>
      <c r="O108" s="726" t="str">
        <f>IF(OR(ПодгПар!L7=0,ПодгПар!P7="ОЖ"),"",ПодгПар!AB7)</f>
        <v>ПАНЬКОВА</v>
      </c>
      <c r="P108" s="727"/>
      <c r="Q108" s="728"/>
      <c r="R108" s="749">
        <f>IF(OR(ПодгПар!L7=0,ПодгПар!P7="ОЖ"),"",ПодгПар!L7)</f>
        <v>59</v>
      </c>
    </row>
    <row r="109" spans="2:18" ht="9" customHeight="1">
      <c r="B109" s="84"/>
      <c r="C109" s="85"/>
      <c r="D109" s="195"/>
      <c r="E109" s="195"/>
      <c r="F109" s="195"/>
      <c r="G109" s="833">
        <f>IF(G111=3,"Х",IF(G111=0,"",IF(G111=1,D107,D111)))</f>
      </c>
      <c r="H109" s="834"/>
      <c r="I109" s="834"/>
      <c r="J109" s="87"/>
      <c r="K109" s="88"/>
      <c r="N109" s="730"/>
      <c r="O109" s="723" t="str">
        <f>IF(OR(ПодгПар!L7=0,ПодгПар!P7="ОЖ"),"",ПодгПар!AL7)</f>
        <v>ТАРАНОВА</v>
      </c>
      <c r="P109" s="724"/>
      <c r="Q109" s="725"/>
      <c r="R109" s="750"/>
    </row>
    <row r="110" spans="3:18" ht="9" customHeight="1">
      <c r="C110" s="618"/>
      <c r="D110" s="194"/>
      <c r="E110" s="194"/>
      <c r="F110" s="194"/>
      <c r="G110" s="799">
        <f>IF(G111=3,"Х",IF(G111=0,"",IF(G111=1,D108,D112)))</f>
      </c>
      <c r="H110" s="800"/>
      <c r="I110" s="800"/>
      <c r="J110" s="87"/>
      <c r="K110" s="153" t="s">
        <v>15</v>
      </c>
      <c r="L110" s="84"/>
      <c r="N110" s="729">
        <f>IF(O110="","",3)</f>
      </c>
      <c r="O110" s="726">
        <f>IF(OR(ПодгПар!L8=0,ПодгПар!P8="ОЖ",ПодгПар!$A$50&lt;4),"",ПодгПар!AB8)</f>
      </c>
      <c r="P110" s="727"/>
      <c r="Q110" s="728"/>
      <c r="R110" s="749">
        <f>IF(OR(ПодгПар!L8=0,ПодгПар!P8="ОЖ",ПодгПар!$A$50&lt;4),"",ПодгПар!L8)</f>
      </c>
    </row>
    <row r="111" spans="4:18" ht="9" customHeight="1">
      <c r="D111" s="775" t="str">
        <f>IF(ПолуфиналНеявка(Q83),"Х",IF(P83=0,CONCATENATE("пр.",M69,",",M70),IF(P83=1,M93,IF(P83=2,M69,"Х"))))</f>
        <v>пр.поб.поб.поб.,,,,поб.,,,,поб.поб.,,,,поб.,,,</v>
      </c>
      <c r="E111" s="775"/>
      <c r="F111" s="840"/>
      <c r="G111" s="205"/>
      <c r="H111" s="835"/>
      <c r="I111" s="835"/>
      <c r="J111" s="91"/>
      <c r="K111" s="153"/>
      <c r="L111" s="84"/>
      <c r="N111" s="730"/>
      <c r="O111" s="723">
        <f>IF(OR(ПодгПар!L8=0,ПодгПар!P8="ОЖ",ПодгПар!$A$50&lt;4),"",ПодгПар!AL8)</f>
      </c>
      <c r="P111" s="724"/>
      <c r="Q111" s="725"/>
      <c r="R111" s="750"/>
    </row>
    <row r="112" spans="1:18" ht="9" customHeight="1">
      <c r="A112" s="92"/>
      <c r="D112" s="731" t="str">
        <f>IF(ПолуфиналНеявка(Q83),"Х",IF(P83=0,CONCATENATE(M93,",",M94),IF(P83=1,M94,IF(P83=2,M70,"Х"))))</f>
        <v>поб.поб.поб.,,,,поб.,,,,поб.поб.,,,,поб.,,ПАНЬКОВА,ТАРАНОВА</v>
      </c>
      <c r="E112" s="731"/>
      <c r="F112" s="732"/>
      <c r="G112" s="206"/>
      <c r="H112" s="207"/>
      <c r="I112" s="208"/>
      <c r="J112" s="95"/>
      <c r="K112" s="96"/>
      <c r="L112" s="84"/>
      <c r="N112" s="729">
        <f>IF(O112="","",4)</f>
      </c>
      <c r="O112" s="726">
        <f>IF(OR(ПодгПар!L9=0,ПодгПар!P9="ОЖ",ПодгПар!$A$50&lt;4),"",ПодгПар!AB9)</f>
      </c>
      <c r="P112" s="727"/>
      <c r="Q112" s="728"/>
      <c r="R112" s="749">
        <f>IF(OR(ПодгПар!L9=0,ПодгПар!P9="ОЖ",ПодгПар!$A$50&lt;4),"",ПодгПар!L9)</f>
      </c>
    </row>
    <row r="113" spans="1:18" ht="9" customHeight="1">
      <c r="A113" s="92"/>
      <c r="D113" s="722"/>
      <c r="E113" s="722"/>
      <c r="F113" s="722"/>
      <c r="G113" s="97"/>
      <c r="H113" s="94"/>
      <c r="I113" s="95"/>
      <c r="J113" s="95"/>
      <c r="K113" s="96"/>
      <c r="L113" s="84"/>
      <c r="N113" s="730"/>
      <c r="O113" s="723">
        <f>IF(OR(ПодгПар!L9=0,ПодгПар!P9="ОЖ",ПодгПар!$A$50&lt;4),"",ПодгПар!AL9)</f>
      </c>
      <c r="P113" s="724"/>
      <c r="Q113" s="725"/>
      <c r="R113" s="750"/>
    </row>
    <row r="114" spans="4:18" ht="9" customHeight="1">
      <c r="D114" s="114"/>
      <c r="E114" s="98"/>
      <c r="F114" s="98"/>
      <c r="G114" s="99"/>
      <c r="H114" s="59"/>
      <c r="I114" s="100"/>
      <c r="J114" s="100"/>
      <c r="K114" s="101"/>
      <c r="L114" s="84"/>
      <c r="N114" s="729">
        <f>IF(O114="","",5)</f>
      </c>
      <c r="O114" s="726">
        <f>IF(OR(ПодгПар!L10=0,ПодгПар!P10="ОЖ",ПодгПар!$A$50&lt;8),"",ПодгПар!AB10)</f>
      </c>
      <c r="P114" s="727"/>
      <c r="Q114" s="728"/>
      <c r="R114" s="749">
        <f>IF(OR(ПодгПар!L10=0,ПодгПар!P10="ОЖ",ПодгПар!$A$50&lt;8),"",ПодгПар!L10)</f>
      </c>
    </row>
    <row r="115" spans="4:18" ht="9" customHeight="1">
      <c r="D115" s="757"/>
      <c r="E115" s="757"/>
      <c r="F115" s="757"/>
      <c r="G115" s="65"/>
      <c r="H115" s="64"/>
      <c r="I115" s="64"/>
      <c r="J115" s="64"/>
      <c r="K115" s="76"/>
      <c r="L115" s="84"/>
      <c r="N115" s="730"/>
      <c r="O115" s="723">
        <f>IF(OR(ПодгПар!L10=0,ПодгПар!P10="ОЖ",ПодгПар!$A$50&lt;8),"",ПодгПар!AL10)</f>
      </c>
      <c r="P115" s="724"/>
      <c r="Q115" s="725"/>
      <c r="R115" s="750"/>
    </row>
    <row r="116" spans="2:18" ht="9" customHeight="1">
      <c r="B116" s="79"/>
      <c r="C116" s="80"/>
      <c r="D116" s="755"/>
      <c r="E116" s="755"/>
      <c r="F116" s="755"/>
      <c r="G116" s="81"/>
      <c r="H116" s="756"/>
      <c r="I116" s="756"/>
      <c r="J116" s="82"/>
      <c r="K116" s="83"/>
      <c r="L116" s="84"/>
      <c r="N116" s="729">
        <f>IF(O116="","",6)</f>
      </c>
      <c r="O116" s="726">
        <f>IF(OR(ПодгПар!L11=0,ПодгПар!P11="ОЖ",ПодгПар!$A$50&lt;8),"",ПодгПар!AB11)</f>
      </c>
      <c r="P116" s="727"/>
      <c r="Q116" s="728"/>
      <c r="R116" s="749">
        <f>IF(OR(ПодгПар!L11=0,ПодгПар!P11="ОЖ",ПодгПар!$A$50&lt;8),"",ПодгПар!L11)</f>
      </c>
    </row>
    <row r="117" spans="2:18" ht="9" customHeight="1">
      <c r="B117" s="84"/>
      <c r="C117" s="85"/>
      <c r="D117" s="86"/>
      <c r="E117" s="86"/>
      <c r="F117" s="86"/>
      <c r="G117" s="818"/>
      <c r="H117" s="818"/>
      <c r="I117" s="818"/>
      <c r="J117" s="87"/>
      <c r="K117" s="88"/>
      <c r="L117" s="84"/>
      <c r="N117" s="730"/>
      <c r="O117" s="723">
        <f>IF(OR(ПодгПар!L11=0,ПодгПар!P11="ОЖ",ПодгПар!$A$50&lt;8),"",ПодгПар!AL11)</f>
      </c>
      <c r="P117" s="724"/>
      <c r="Q117" s="725"/>
      <c r="R117" s="750"/>
    </row>
    <row r="118" spans="4:18" ht="9" customHeight="1">
      <c r="D118" s="89"/>
      <c r="E118" s="89"/>
      <c r="F118" s="89"/>
      <c r="G118" s="757"/>
      <c r="H118" s="757"/>
      <c r="I118" s="757"/>
      <c r="J118" s="87"/>
      <c r="K118" s="153"/>
      <c r="L118" s="84"/>
      <c r="N118" s="729">
        <f>IF(O118="","",7)</f>
      </c>
      <c r="O118" s="726">
        <f>IF(OR(ПодгПар!L12=0,ПодгПар!P12="ОЖ",ПодгПар!$A$50&lt;8),"",ПодгПар!AB12)</f>
      </c>
      <c r="P118" s="727"/>
      <c r="Q118" s="728"/>
      <c r="R118" s="749">
        <f>IF(OR(ПодгПар!L12=0,ПодгПар!P12="ОЖ",ПодгПар!$A$50&lt;8),"",ПодгПар!L12)</f>
      </c>
    </row>
    <row r="119" spans="4:18" ht="9" customHeight="1">
      <c r="D119" s="819"/>
      <c r="E119" s="819"/>
      <c r="F119" s="819"/>
      <c r="G119" s="115"/>
      <c r="H119" s="820"/>
      <c r="I119" s="820"/>
      <c r="J119" s="91"/>
      <c r="K119" s="153"/>
      <c r="L119" s="84"/>
      <c r="N119" s="730"/>
      <c r="O119" s="723">
        <f>IF(OR(ПодгПар!L12=0,ПодгПар!P12="ОЖ",ПодгПар!$A$50&lt;8),"",ПодгПар!AL12)</f>
      </c>
      <c r="P119" s="724"/>
      <c r="Q119" s="725"/>
      <c r="R119" s="750"/>
    </row>
    <row r="120" spans="1:18" ht="9.75" customHeight="1">
      <c r="A120" s="92" t="s">
        <v>16</v>
      </c>
      <c r="C120" s="8"/>
      <c r="D120" s="102"/>
      <c r="E120" s="102"/>
      <c r="F120" s="817" t="str">
        <f>IF(Установка!$C$11="","",UPPER(Установка!$C$11))</f>
        <v>ЗЕЛИНГЕР М.М.</v>
      </c>
      <c r="G120" s="817"/>
      <c r="H120" s="817"/>
      <c r="I120" s="817"/>
      <c r="J120" s="103"/>
      <c r="K120" s="101"/>
      <c r="N120" s="729">
        <f>IF(O120="","",8)</f>
      </c>
      <c r="O120" s="726">
        <f>IF(OR(ПодгПар!L13=0,ПодгПар!P13="ОЖ",ПодгПар!$A$50&lt;8),"",ПодгПар!AB13)</f>
      </c>
      <c r="P120" s="727"/>
      <c r="Q120" s="728"/>
      <c r="R120" s="749">
        <f>IF(OR(ПодгПар!L13=0,ПодгПар!P13="ОЖ",ПодгПар!$A$50&lt;8),"",ПодгПар!L13)</f>
      </c>
    </row>
    <row r="121" spans="3:18" ht="9.75" customHeight="1" thickBot="1">
      <c r="C121" s="8"/>
      <c r="D121" s="104" t="s">
        <v>17</v>
      </c>
      <c r="E121" s="104"/>
      <c r="F121" s="827" t="s">
        <v>18</v>
      </c>
      <c r="G121" s="827"/>
      <c r="H121" s="827"/>
      <c r="I121" s="827"/>
      <c r="J121" s="105"/>
      <c r="K121" s="96"/>
      <c r="N121" s="748"/>
      <c r="O121" s="751">
        <f>IF(OR(ПодгПар!L13=0,ПодгПар!P13="ОЖ",ПодгПар!$A$50&lt;8),"",ПодгПар!AL13)</f>
      </c>
      <c r="P121" s="752"/>
      <c r="Q121" s="753"/>
      <c r="R121" s="754"/>
    </row>
    <row r="122" spans="3:10" ht="9.75" customHeight="1">
      <c r="C122" s="8"/>
      <c r="D122" s="104"/>
      <c r="E122" s="104"/>
      <c r="F122" s="828"/>
      <c r="G122" s="828"/>
      <c r="H122" s="84"/>
      <c r="I122" s="84"/>
      <c r="J122" s="107"/>
    </row>
    <row r="123" spans="1:10" ht="9.75" customHeight="1">
      <c r="A123" s="92" t="s">
        <v>19</v>
      </c>
      <c r="C123" s="8"/>
      <c r="D123" s="102"/>
      <c r="E123" s="102"/>
      <c r="F123" s="817" t="str">
        <f>IF(Установка!$C$12="","",UPPER(Установка!$C$12))</f>
        <v>ГУТОВ К.Г.</v>
      </c>
      <c r="G123" s="817"/>
      <c r="H123" s="817"/>
      <c r="I123" s="817"/>
      <c r="J123" s="103"/>
    </row>
    <row r="124" spans="3:10" ht="9.75" customHeight="1">
      <c r="C124" s="8"/>
      <c r="D124" s="104" t="s">
        <v>17</v>
      </c>
      <c r="E124" s="104"/>
      <c r="F124" s="825" t="s">
        <v>18</v>
      </c>
      <c r="G124" s="825"/>
      <c r="H124" s="825"/>
      <c r="I124" s="825"/>
      <c r="J124" s="105"/>
    </row>
  </sheetData>
  <sheetProtection sheet="1" objects="1" scenarios="1" selectLockedCells="1"/>
  <mergeCells count="339">
    <mergeCell ref="B1:Q1"/>
    <mergeCell ref="B2:Q2"/>
    <mergeCell ref="B3:Q3"/>
    <mergeCell ref="B4:Q4"/>
    <mergeCell ref="R108:R109"/>
    <mergeCell ref="R110:R111"/>
    <mergeCell ref="N108:N109"/>
    <mergeCell ref="D111:F111"/>
    <mergeCell ref="N110:N111"/>
    <mergeCell ref="O108:Q108"/>
    <mergeCell ref="O109:Q109"/>
    <mergeCell ref="O110:Q110"/>
    <mergeCell ref="O111:Q111"/>
    <mergeCell ref="D108:F108"/>
    <mergeCell ref="F82:F83"/>
    <mergeCell ref="G110:I110"/>
    <mergeCell ref="G109:I109"/>
    <mergeCell ref="H111:I111"/>
    <mergeCell ref="D107:F107"/>
    <mergeCell ref="G85:I85"/>
    <mergeCell ref="Q57:R57"/>
    <mergeCell ref="Q58:R58"/>
    <mergeCell ref="Q59:R59"/>
    <mergeCell ref="R106:R107"/>
    <mergeCell ref="P81:R81"/>
    <mergeCell ref="P82:R82"/>
    <mergeCell ref="Q83:R83"/>
    <mergeCell ref="G55:I55"/>
    <mergeCell ref="H68:I68"/>
    <mergeCell ref="G61:I61"/>
    <mergeCell ref="G66:I66"/>
    <mergeCell ref="G67:I67"/>
    <mergeCell ref="F124:I124"/>
    <mergeCell ref="H108:I108"/>
    <mergeCell ref="F120:I120"/>
    <mergeCell ref="F121:I121"/>
    <mergeCell ref="F122:G122"/>
    <mergeCell ref="F123:I123"/>
    <mergeCell ref="G117:I117"/>
    <mergeCell ref="G118:I118"/>
    <mergeCell ref="D119:F119"/>
    <mergeCell ref="H119:I119"/>
    <mergeCell ref="A9:A11"/>
    <mergeCell ref="B9:B11"/>
    <mergeCell ref="A14:A15"/>
    <mergeCell ref="C14:C15"/>
    <mergeCell ref="C12:C13"/>
    <mergeCell ref="Q5:R5"/>
    <mergeCell ref="H5:K5"/>
    <mergeCell ref="L5:O5"/>
    <mergeCell ref="B14:B15"/>
    <mergeCell ref="A12:A13"/>
    <mergeCell ref="B12:B13"/>
    <mergeCell ref="C9:C11"/>
    <mergeCell ref="I8:K8"/>
    <mergeCell ref="A6:B6"/>
    <mergeCell ref="R10:R11"/>
    <mergeCell ref="G25:I25"/>
    <mergeCell ref="J27:L27"/>
    <mergeCell ref="G24:I24"/>
    <mergeCell ref="Q6:R6"/>
    <mergeCell ref="H6:I6"/>
    <mergeCell ref="K6:L6"/>
    <mergeCell ref="O8:Q8"/>
    <mergeCell ref="L8:N8"/>
    <mergeCell ref="F8:H8"/>
    <mergeCell ref="G13:I13"/>
    <mergeCell ref="G18:I18"/>
    <mergeCell ref="G19:I19"/>
    <mergeCell ref="P34:R34"/>
    <mergeCell ref="D9:D11"/>
    <mergeCell ref="E9:E11"/>
    <mergeCell ref="F9:F11"/>
    <mergeCell ref="G12:I12"/>
    <mergeCell ref="H26:I26"/>
    <mergeCell ref="J16:L16"/>
    <mergeCell ref="J15:L15"/>
    <mergeCell ref="K17:L17"/>
    <mergeCell ref="H14:I14"/>
    <mergeCell ref="D16:D17"/>
    <mergeCell ref="D40:D41"/>
    <mergeCell ref="D22:D23"/>
    <mergeCell ref="D52:D53"/>
    <mergeCell ref="F16:F17"/>
    <mergeCell ref="F40:F41"/>
    <mergeCell ref="D46:D47"/>
    <mergeCell ref="F52:F53"/>
    <mergeCell ref="F22:F23"/>
    <mergeCell ref="A24:A25"/>
    <mergeCell ref="A26:A27"/>
    <mergeCell ref="A28:A29"/>
    <mergeCell ref="B26:B27"/>
    <mergeCell ref="B28:B29"/>
    <mergeCell ref="A36:A37"/>
    <mergeCell ref="B34:B35"/>
    <mergeCell ref="C28:C29"/>
    <mergeCell ref="C32:C33"/>
    <mergeCell ref="B32:B33"/>
    <mergeCell ref="C26:C27"/>
    <mergeCell ref="B36:B37"/>
    <mergeCell ref="A30:A31"/>
    <mergeCell ref="A32:A33"/>
    <mergeCell ref="A34:A35"/>
    <mergeCell ref="C24:C25"/>
    <mergeCell ref="C22:C23"/>
    <mergeCell ref="D28:D29"/>
    <mergeCell ref="C34:C35"/>
    <mergeCell ref="D34:D35"/>
    <mergeCell ref="C30:C31"/>
    <mergeCell ref="A16:A17"/>
    <mergeCell ref="A18:A19"/>
    <mergeCell ref="A20:A21"/>
    <mergeCell ref="A22:A23"/>
    <mergeCell ref="A50:A51"/>
    <mergeCell ref="A52:A53"/>
    <mergeCell ref="A38:A39"/>
    <mergeCell ref="A40:A41"/>
    <mergeCell ref="A42:A43"/>
    <mergeCell ref="A44:A45"/>
    <mergeCell ref="A46:A47"/>
    <mergeCell ref="A48:A49"/>
    <mergeCell ref="C16:C17"/>
    <mergeCell ref="G43:I43"/>
    <mergeCell ref="B16:B17"/>
    <mergeCell ref="B18:B19"/>
    <mergeCell ref="B20:B21"/>
    <mergeCell ref="B30:B31"/>
    <mergeCell ref="B22:B23"/>
    <mergeCell ref="B24:B25"/>
    <mergeCell ref="C20:C21"/>
    <mergeCell ref="C18:C19"/>
    <mergeCell ref="G37:I37"/>
    <mergeCell ref="H38:I38"/>
    <mergeCell ref="H20:I20"/>
    <mergeCell ref="H32:I32"/>
    <mergeCell ref="G30:I30"/>
    <mergeCell ref="G31:I31"/>
    <mergeCell ref="G36:I36"/>
    <mergeCell ref="F34:F35"/>
    <mergeCell ref="B38:B39"/>
    <mergeCell ref="C42:C43"/>
    <mergeCell ref="C38:C39"/>
    <mergeCell ref="C40:C41"/>
    <mergeCell ref="C36:C37"/>
    <mergeCell ref="B40:B41"/>
    <mergeCell ref="B42:B43"/>
    <mergeCell ref="J64:L64"/>
    <mergeCell ref="H50:I50"/>
    <mergeCell ref="D64:D65"/>
    <mergeCell ref="K65:L65"/>
    <mergeCell ref="F64:F65"/>
    <mergeCell ref="H56:I56"/>
    <mergeCell ref="H62:I62"/>
    <mergeCell ref="K53:L53"/>
    <mergeCell ref="G54:I54"/>
    <mergeCell ref="G60:I60"/>
    <mergeCell ref="C64:C65"/>
    <mergeCell ref="C44:C45"/>
    <mergeCell ref="C46:C47"/>
    <mergeCell ref="C50:C51"/>
    <mergeCell ref="C52:C53"/>
    <mergeCell ref="C62:C63"/>
    <mergeCell ref="C60:C61"/>
    <mergeCell ref="C56:C57"/>
    <mergeCell ref="J51:L51"/>
    <mergeCell ref="K29:L29"/>
    <mergeCell ref="K41:L41"/>
    <mergeCell ref="J39:L39"/>
    <mergeCell ref="C54:C55"/>
    <mergeCell ref="C48:C49"/>
    <mergeCell ref="G42:I42"/>
    <mergeCell ref="H44:I44"/>
    <mergeCell ref="F28:F29"/>
    <mergeCell ref="F46:F47"/>
    <mergeCell ref="M21:O21"/>
    <mergeCell ref="M22:O22"/>
    <mergeCell ref="N23:O23"/>
    <mergeCell ref="N20:O20"/>
    <mergeCell ref="J63:L63"/>
    <mergeCell ref="Q35:R35"/>
    <mergeCell ref="P33:R33"/>
    <mergeCell ref="J28:L28"/>
    <mergeCell ref="J52:L52"/>
    <mergeCell ref="J40:L40"/>
    <mergeCell ref="B50:B51"/>
    <mergeCell ref="B52:B53"/>
    <mergeCell ref="M45:O45"/>
    <mergeCell ref="M46:O46"/>
    <mergeCell ref="B46:B47"/>
    <mergeCell ref="B48:B49"/>
    <mergeCell ref="G48:I48"/>
    <mergeCell ref="G49:I49"/>
    <mergeCell ref="B44:B45"/>
    <mergeCell ref="N47:O47"/>
    <mergeCell ref="A54:A55"/>
    <mergeCell ref="A56:A57"/>
    <mergeCell ref="A64:A65"/>
    <mergeCell ref="B64:B65"/>
    <mergeCell ref="A62:A63"/>
    <mergeCell ref="B62:B63"/>
    <mergeCell ref="A60:A61"/>
    <mergeCell ref="B60:B61"/>
    <mergeCell ref="B54:B55"/>
    <mergeCell ref="B56:B57"/>
    <mergeCell ref="A66:A67"/>
    <mergeCell ref="B66:B67"/>
    <mergeCell ref="C66:C67"/>
    <mergeCell ref="M70:O70"/>
    <mergeCell ref="F70:F71"/>
    <mergeCell ref="N71:O71"/>
    <mergeCell ref="M69:O69"/>
    <mergeCell ref="A68:A69"/>
    <mergeCell ref="B68:B69"/>
    <mergeCell ref="A70:A71"/>
    <mergeCell ref="B70:B71"/>
    <mergeCell ref="C70:C71"/>
    <mergeCell ref="D70:D71"/>
    <mergeCell ref="N68:O68"/>
    <mergeCell ref="C68:C69"/>
    <mergeCell ref="C74:C75"/>
    <mergeCell ref="H74:I74"/>
    <mergeCell ref="A72:A73"/>
    <mergeCell ref="B72:B73"/>
    <mergeCell ref="C72:C73"/>
    <mergeCell ref="G72:I72"/>
    <mergeCell ref="G73:I73"/>
    <mergeCell ref="J75:L75"/>
    <mergeCell ref="A74:A75"/>
    <mergeCell ref="B74:B75"/>
    <mergeCell ref="A76:A77"/>
    <mergeCell ref="B76:B77"/>
    <mergeCell ref="C76:C77"/>
    <mergeCell ref="D76:D77"/>
    <mergeCell ref="F76:F77"/>
    <mergeCell ref="J76:L76"/>
    <mergeCell ref="K77:L77"/>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20:N121"/>
    <mergeCell ref="R118:R119"/>
    <mergeCell ref="O119:Q119"/>
    <mergeCell ref="O120:Q120"/>
    <mergeCell ref="O121:Q121"/>
    <mergeCell ref="R120:R121"/>
    <mergeCell ref="N103:N105"/>
    <mergeCell ref="O103:Q105"/>
    <mergeCell ref="R103:R105"/>
    <mergeCell ref="O106:Q106"/>
    <mergeCell ref="N106:N107"/>
    <mergeCell ref="O107:Q107"/>
    <mergeCell ref="D113:F113"/>
    <mergeCell ref="O117:Q117"/>
    <mergeCell ref="O118:Q118"/>
    <mergeCell ref="O112:Q112"/>
    <mergeCell ref="O113:Q113"/>
    <mergeCell ref="O114:Q114"/>
    <mergeCell ref="O115:Q115"/>
    <mergeCell ref="N118:N119"/>
    <mergeCell ref="D112:F112"/>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102:D105 D30:D33 D36:D39 D42:D45 D48:D51 D54:D57 D60:D63 D66:D69 D72:D75 D78:D81 D84:D87 D90:D93 D96:D99 D24:D27">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12:C15 C18:C21 C24:C27 C30:C33 C36:C39 C42:C45 C48:C51 C54:C57 C60:C63 C66:C69 C72:C75 C78:C81 C84:C87 C90:C93 C96:C99 C102:C105">
    <cfRule type="expression" priority="25" dxfId="211" stopIfTrue="1">
      <formula>AND(C12&lt;&gt;"Х",C12&lt;&gt;"х",COUNTIF($C$12:$C$105,C12)&gt;1)</formula>
    </cfRule>
  </conditionalFormatting>
  <conditionalFormatting sqref="J107:K112 H111:I112 D109:F110 G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7:F107 D111:F111">
    <cfRule type="expression" priority="29" dxfId="213" stopIfTrue="1">
      <formula>$AA$1=TRUE</formula>
    </cfRule>
    <cfRule type="expression" priority="30" dxfId="209" stopIfTrue="1">
      <formula>LEFT($D107,3)="пр."</formula>
    </cfRule>
  </conditionalFormatting>
  <conditionalFormatting sqref="D108:F108 D112:F112">
    <cfRule type="expression" priority="31" dxfId="213" stopIfTrue="1">
      <formula>$AA$1=TRUE</formula>
    </cfRule>
    <cfRule type="expression" priority="32" dxfId="209" stopIfTrue="1">
      <formula>LEFT($D107,3)="пр."</formula>
    </cfRule>
  </conditionalFormatting>
  <conditionalFormatting sqref="Q58:R58">
    <cfRule type="expression" priority="33" dxfId="207" stopIfTrue="1">
      <formula>COUNTIF($O$106:$Q$121,Q58)&gt;0</formula>
    </cfRule>
    <cfRule type="expression" priority="34" dxfId="209" stopIfTrue="1">
      <formula>LEFT($Q57,4)="поб."</formula>
    </cfRule>
  </conditionalFormatting>
  <conditionalFormatting sqref="Q57:R57">
    <cfRule type="expression" priority="35" dxfId="207" stopIfTrue="1">
      <formula>COUNTIF($O$106:$Q$121,Q57)&gt;0</formula>
    </cfRule>
    <cfRule type="expression" priority="36" dxfId="209" stopIfTrue="1">
      <formula>LEFT($Q57,4)="поб."</formula>
    </cfRule>
  </conditionalFormatting>
  <conditionalFormatting sqref="G110:I110">
    <cfRule type="expression" priority="37" dxfId="213" stopIfTrue="1">
      <formula>$AA$1=TRUE</formula>
    </cfRule>
    <cfRule type="expression" priority="38" dxfId="209" stopIfTrue="1">
      <formula>LEFT($G109,4)="поб."</formula>
    </cfRule>
  </conditionalFormatting>
  <conditionalFormatting sqref="G109:I109">
    <cfRule type="expression" priority="39" dxfId="213" stopIfTrue="1">
      <formula>$AA$1=TRUE</formula>
    </cfRule>
    <cfRule type="expression" priority="40" dxfId="209" stopIfTrue="1">
      <formula>LEFT($G109,4)="поб."</formula>
    </cfRule>
  </conditionalFormatting>
  <conditionalFormatting sqref="D113:F113">
    <cfRule type="expression" priority="41" dxfId="208" stopIfTrue="1">
      <formula>$AA$1=TRUE</formula>
    </cfRule>
  </conditionalFormatting>
  <printOptions horizontalCentered="1"/>
  <pageMargins left="0.15" right="0.14" top="0.16" bottom="0.22" header="0" footer="0"/>
  <pageSetup fitToHeight="1" fitToWidth="1" horizontalDpi="600" verticalDpi="600" orientation="portrait" paperSize="9" scale="71" r:id="rId3"/>
  <drawing r:id="rId2"/>
  <legacyDrawing r:id="rId1"/>
</worksheet>
</file>

<file path=xl/worksheets/sheet8.xml><?xml version="1.0" encoding="utf-8"?>
<worksheet xmlns="http://schemas.openxmlformats.org/spreadsheetml/2006/main" xmlns:r="http://schemas.openxmlformats.org/officeDocument/2006/relationships">
  <sheetPr codeName="Лист22">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J17" sqref="J17"/>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836" t="s">
        <v>116</v>
      </c>
      <c r="C1" s="836"/>
      <c r="D1" s="836"/>
      <c r="E1" s="836"/>
      <c r="F1" s="836"/>
      <c r="G1" s="836"/>
      <c r="H1" s="836"/>
      <c r="I1" s="836"/>
      <c r="J1" s="836"/>
      <c r="K1" s="836"/>
      <c r="L1" s="836"/>
      <c r="M1" s="836"/>
      <c r="N1" s="836"/>
      <c r="O1" s="836"/>
      <c r="P1" s="836"/>
      <c r="Q1" s="836"/>
      <c r="R1" s="2"/>
      <c r="AA1" s="620" t="b">
        <v>0</v>
      </c>
    </row>
    <row r="2" spans="1:18" s="6" customFormat="1" ht="18">
      <c r="A2" s="3"/>
      <c r="B2" s="837" t="str">
        <f>IF(Установка!C3="","",UPPER(Установка!C3))</f>
        <v>ПЕРВЕНСТВО ЧЕЛЯБИНСКОЙ ОБЛАСТИ</v>
      </c>
      <c r="C2" s="837"/>
      <c r="D2" s="837"/>
      <c r="E2" s="837"/>
      <c r="F2" s="837"/>
      <c r="G2" s="837"/>
      <c r="H2" s="837"/>
      <c r="I2" s="837"/>
      <c r="J2" s="837"/>
      <c r="K2" s="837"/>
      <c r="L2" s="837"/>
      <c r="M2" s="837"/>
      <c r="N2" s="837"/>
      <c r="O2" s="837"/>
      <c r="P2" s="837"/>
      <c r="Q2" s="837"/>
      <c r="R2" s="5"/>
    </row>
    <row r="3" spans="2:18" s="6" customFormat="1" ht="8.25" customHeight="1">
      <c r="B3" s="838" t="s">
        <v>0</v>
      </c>
      <c r="C3" s="838"/>
      <c r="D3" s="838"/>
      <c r="E3" s="838"/>
      <c r="F3" s="838"/>
      <c r="G3" s="838"/>
      <c r="H3" s="838"/>
      <c r="I3" s="838"/>
      <c r="J3" s="838"/>
      <c r="K3" s="838"/>
      <c r="L3" s="838"/>
      <c r="M3" s="838"/>
      <c r="N3" s="838"/>
      <c r="O3" s="838"/>
      <c r="P3" s="838"/>
      <c r="Q3" s="838"/>
      <c r="R3" s="7"/>
    </row>
    <row r="4" spans="2:18" ht="11.25" customHeight="1">
      <c r="B4" s="808" t="s">
        <v>173</v>
      </c>
      <c r="C4" s="839"/>
      <c r="D4" s="839"/>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13 ЛЕТ</v>
      </c>
      <c r="M5" s="811"/>
      <c r="N5" s="811"/>
      <c r="O5" s="811"/>
      <c r="P5" s="13"/>
      <c r="Q5" s="809" t="str">
        <f>IF(Установка!$C$5="","Ю/Д/М/Ж/СМ",UPPER(Установка!$C$5))</f>
        <v>ДЕВУШКИ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808" t="s">
        <v>20</v>
      </c>
      <c r="G8" s="808"/>
      <c r="H8" s="808"/>
      <c r="I8" s="808" t="s">
        <v>4</v>
      </c>
      <c r="J8" s="808"/>
      <c r="K8" s="808"/>
      <c r="L8" s="808" t="s">
        <v>5</v>
      </c>
      <c r="M8" s="808"/>
      <c r="N8" s="808"/>
      <c r="O8" s="808" t="s">
        <v>6</v>
      </c>
      <c r="P8" s="808"/>
      <c r="Q8" s="808"/>
      <c r="R8" s="113" t="s">
        <v>7</v>
      </c>
    </row>
    <row r="9" spans="1:18" ht="6" customHeight="1">
      <c r="A9" s="821" t="s">
        <v>8</v>
      </c>
      <c r="B9" s="823" t="s">
        <v>9</v>
      </c>
      <c r="C9" s="812">
        <f>MAX(C12:C105)+1</f>
        <v>3</v>
      </c>
      <c r="D9" s="801" t="s">
        <v>10</v>
      </c>
      <c r="E9" s="803" t="s">
        <v>11</v>
      </c>
      <c r="F9" s="803" t="s">
        <v>12</v>
      </c>
      <c r="G9" s="35"/>
      <c r="H9" s="36"/>
      <c r="I9" s="8"/>
      <c r="J9" s="37"/>
      <c r="K9" s="8"/>
      <c r="L9" s="8"/>
      <c r="M9" s="38"/>
      <c r="N9" s="38"/>
      <c r="O9" s="38"/>
      <c r="P9" s="38"/>
      <c r="Q9" s="39"/>
      <c r="R9" s="38"/>
    </row>
    <row r="10" spans="1:18" ht="9.75" customHeight="1">
      <c r="A10" s="822"/>
      <c r="B10" s="824"/>
      <c r="C10" s="812"/>
      <c r="D10" s="801"/>
      <c r="E10" s="803"/>
      <c r="F10" s="803"/>
      <c r="G10" s="40"/>
      <c r="H10" s="41"/>
      <c r="I10" s="42"/>
      <c r="J10" s="43"/>
      <c r="K10" s="43"/>
      <c r="L10" s="43"/>
      <c r="M10" s="44"/>
      <c r="N10" s="45"/>
      <c r="O10" s="46"/>
      <c r="P10" s="44"/>
      <c r="Q10" s="45"/>
      <c r="R10" s="815"/>
    </row>
    <row r="11" spans="1:18" s="53" customFormat="1" ht="9.75" customHeight="1" thickBot="1">
      <c r="A11" s="822"/>
      <c r="B11" s="824"/>
      <c r="C11" s="813"/>
      <c r="D11" s="802"/>
      <c r="E11" s="804"/>
      <c r="F11" s="804"/>
      <c r="G11" s="112"/>
      <c r="H11" s="47"/>
      <c r="I11" s="48"/>
      <c r="J11" s="49"/>
      <c r="K11" s="49"/>
      <c r="L11" s="49"/>
      <c r="M11" s="50"/>
      <c r="N11" s="51"/>
      <c r="O11" s="52"/>
      <c r="P11" s="50"/>
      <c r="Q11" s="51"/>
      <c r="R11" s="816"/>
    </row>
    <row r="12" spans="1:18" s="53" customFormat="1" ht="9" customHeight="1">
      <c r="A12" s="758" t="str">
        <f>IF($C12="","1",IF(AND($C12&gt;=1,$C12&lt;33),INDEX(ПодгПар!$P$6:$P$29,$C12),""))</f>
        <v>1 </v>
      </c>
      <c r="B12" s="759">
        <v>1</v>
      </c>
      <c r="C12" s="796">
        <v>1</v>
      </c>
      <c r="D12" s="178" t="str">
        <f>IF($C12="","",IF(AND($C12&gt;=1,$C12&lt;25),INDEX(ПодгПар!$AB$6:$AB$29,$C12,1),"Х"))</f>
        <v>МАТВЕЕВА</v>
      </c>
      <c r="E12" s="179" t="str">
        <f>IF($C12="","",IF(AND($C12&gt;=1,$C12&lt;25),INDEX(ПодгПар!$W$6:$W$29,$C12,1),""))</f>
        <v>Е.О.</v>
      </c>
      <c r="F12" s="180" t="str">
        <f>IF($C12="","",IF(AND($C12&gt;=1,$C12&lt;25),INDEX(ПодгПар!$F$6:$F$29,$C12,1),""))</f>
        <v>Уфа</v>
      </c>
      <c r="G12" s="763" t="str">
        <f>IF(G14=0,CONCATENATE("поб.",D12,",",D13),IF(G14=1,D12,IF(G14=2,D14,"Х")))</f>
        <v>МАТВЕЕВА</v>
      </c>
      <c r="H12" s="764"/>
      <c r="I12" s="764"/>
      <c r="J12" s="209"/>
      <c r="K12" s="210"/>
      <c r="L12" s="210"/>
      <c r="M12" s="223"/>
      <c r="N12" s="223"/>
      <c r="O12" s="223"/>
      <c r="P12" s="57"/>
      <c r="Q12" s="56"/>
      <c r="R12" s="56"/>
    </row>
    <row r="13" spans="1:19" s="9" customFormat="1" ht="9" customHeight="1">
      <c r="A13" s="730"/>
      <c r="B13" s="760"/>
      <c r="C13" s="797"/>
      <c r="D13" s="181" t="str">
        <f>IF($C12="","",IF(AND($C12&gt;=1,$C12&lt;25),INDEX(ПодгПар!$AL$6:$AL$29,$C12,1),"Х"))</f>
        <v>ХАБАРОВА</v>
      </c>
      <c r="E13" s="182" t="str">
        <f>IF($C12="","",IF(AND($C12&gt;=1,$C12&lt;25),INDEX(ПодгПар!$AJ$6:$AJ$29,$C12,1),""))</f>
        <v>А.О.</v>
      </c>
      <c r="F13" s="183" t="str">
        <f>IF($C12="","",IF(AND($C12&gt;=1,$C12&lt;25),INDEX(ПодгПар!$K$6:$K$29,$C12,1),""))</f>
        <v>Уфа</v>
      </c>
      <c r="G13" s="766" t="str">
        <f>IF(G14=0,CONCATENATE(D14,",",D15),IF(G14=1,D13,IF(G14=2,D15,"Х")))</f>
        <v>ХАБАРОВА</v>
      </c>
      <c r="H13" s="767"/>
      <c r="I13" s="767"/>
      <c r="J13" s="211"/>
      <c r="K13" s="212"/>
      <c r="L13" s="212"/>
      <c r="M13" s="224"/>
      <c r="N13" s="202"/>
      <c r="O13" s="202"/>
      <c r="P13" s="60"/>
      <c r="Q13" s="61"/>
      <c r="R13" s="61"/>
      <c r="S13" s="62"/>
    </row>
    <row r="14" spans="1:19" s="9" customFormat="1" ht="9" customHeight="1">
      <c r="A14" s="729">
        <f>IF($C14="","",IF(AND($C14&gt;=1,$C14&lt;33),INDEX(ПодгПар!$P$6:$P$29,$C14),""))</f>
      </c>
      <c r="B14" s="769">
        <v>2</v>
      </c>
      <c r="C14" s="844" t="s">
        <v>172</v>
      </c>
      <c r="D14" s="388" t="str">
        <f>IF($C14="","",IF(AND($C14&gt;=1,$C14&lt;25),INDEX(ПодгПар!$AB$6:$AB$29,$C14,1),"Х"))</f>
        <v>Х</v>
      </c>
      <c r="E14" s="389">
        <f>IF($C14="","",IF(AND($C14&gt;=1,$C14&lt;25),INDEX(ПодгПар!$W$6:$W$29,$C14,1),""))</f>
      </c>
      <c r="F14" s="390">
        <f>IF($C14="","",IF(AND($C14&gt;=1,$C14&lt;25),INDEX(ПодгПар!$F$6:$F$29,$C14,1),""))</f>
      </c>
      <c r="G14" s="400">
        <v>1</v>
      </c>
      <c r="H14" s="846"/>
      <c r="I14" s="847"/>
      <c r="J14" s="213"/>
      <c r="K14" s="212"/>
      <c r="L14" s="212"/>
      <c r="M14" s="224"/>
      <c r="N14" s="202"/>
      <c r="O14" s="202"/>
      <c r="P14" s="60"/>
      <c r="Q14" s="61"/>
      <c r="R14" s="61"/>
      <c r="S14" s="62"/>
    </row>
    <row r="15" spans="1:19" s="9" customFormat="1" ht="9" customHeight="1" thickBot="1">
      <c r="A15" s="748"/>
      <c r="B15" s="770"/>
      <c r="C15" s="845"/>
      <c r="D15" s="391" t="str">
        <f>IF($C14="","",IF(AND($C14&gt;=1,$C14&lt;25),INDEX(ПодгПар!$AL$6:$AL$29,$C14,1),"Х"))</f>
        <v>Х</v>
      </c>
      <c r="E15" s="392">
        <f>IF($C14="","",IF(AND($C14&gt;=1,$C14&lt;25),INDEX(ПодгПар!$AJ$6:$AJ$29,$C14,1),""))</f>
      </c>
      <c r="F15" s="393">
        <f>IF($C14="","",IF(AND($C14&gt;=1,$C14&lt;25),INDEX(ПодгПар!$K$6:$K$29,$C14,1),""))</f>
      </c>
      <c r="G15" s="197"/>
      <c r="H15" s="198"/>
      <c r="I15" s="199"/>
      <c r="J15" s="774" t="str">
        <f>IF(J17=0,CONCATENATE("поб.",G12,",",G13),IF(J17=1,G12,IF(J17=2,G18,"Х")))</f>
        <v>поб.МАТВЕЕВА,ХАБАРОВА</v>
      </c>
      <c r="K15" s="775"/>
      <c r="L15" s="775"/>
      <c r="M15" s="225"/>
      <c r="N15" s="202"/>
      <c r="O15" s="202"/>
      <c r="P15" s="60"/>
      <c r="Q15" s="61"/>
      <c r="R15" s="61"/>
      <c r="S15" s="62"/>
    </row>
    <row r="16" spans="1:19" s="9" customFormat="1" ht="9" customHeight="1">
      <c r="A16" s="776"/>
      <c r="B16" s="778"/>
      <c r="C16" s="780"/>
      <c r="D16" s="782"/>
      <c r="E16" s="190"/>
      <c r="F16" s="782"/>
      <c r="G16" s="200"/>
      <c r="H16" s="198"/>
      <c r="I16" s="199"/>
      <c r="J16" s="784" t="str">
        <f>IF(J17=0,CONCATENATE(G18,",",G19),IF(J17=1,G13,IF(J17=2,G19,"Х")))</f>
        <v>поб.,,,</v>
      </c>
      <c r="K16" s="785"/>
      <c r="L16" s="785"/>
      <c r="M16" s="225"/>
      <c r="N16" s="202"/>
      <c r="O16" s="202"/>
      <c r="P16" s="60"/>
      <c r="Q16" s="61"/>
      <c r="R16" s="61"/>
      <c r="S16" s="62"/>
    </row>
    <row r="17" spans="1:19" s="9" customFormat="1" ht="9" customHeight="1" thickBot="1">
      <c r="A17" s="777"/>
      <c r="B17" s="779"/>
      <c r="C17" s="841"/>
      <c r="D17" s="783"/>
      <c r="E17" s="191"/>
      <c r="F17" s="783"/>
      <c r="G17" s="200"/>
      <c r="H17" s="198"/>
      <c r="I17" s="199"/>
      <c r="J17" s="214"/>
      <c r="K17" s="795"/>
      <c r="L17" s="795"/>
      <c r="M17" s="226"/>
      <c r="N17" s="202"/>
      <c r="O17" s="202"/>
      <c r="P17" s="224"/>
      <c r="Q17" s="202"/>
      <c r="R17" s="202"/>
      <c r="S17" s="62"/>
    </row>
    <row r="18" spans="1:19" s="9" customFormat="1" ht="9" customHeight="1">
      <c r="A18" s="758">
        <f>IF($C18="","",IF(AND($C18&gt;=1,$C18&lt;33),INDEX(ПодгПар!$P$6:$P$29,$C18),""))</f>
      </c>
      <c r="B18" s="759">
        <v>3</v>
      </c>
      <c r="C18" s="761"/>
      <c r="D18" s="178">
        <f>IF($C18="","",IF(AND($C18&gt;=1,$C18&lt;25),INDEX(ПодгПар!$AB$6:$AB$29,$C18,1),"Х"))</f>
      </c>
      <c r="E18" s="179">
        <f>IF($C18="","",IF(AND($C18&gt;=1,$C18&lt;25),INDEX(ПодгПар!$W$6:$W$29,$C18,1),""))</f>
      </c>
      <c r="F18" s="180">
        <f>IF($C18="","",IF(AND($C18&gt;=1,$C18&lt;25),INDEX(ПодгПар!$F$6:$F$29,$C18,1),""))</f>
      </c>
      <c r="G18" s="763" t="str">
        <f>IF(G20=0,CONCATENATE("поб.",D18,",",D19),IF(G20=1,D18,IF(G20=2,D20,"Х")))</f>
        <v>поб.,</v>
      </c>
      <c r="H18" s="764"/>
      <c r="I18" s="765"/>
      <c r="J18" s="211"/>
      <c r="K18" s="215"/>
      <c r="L18" s="215"/>
      <c r="M18" s="226"/>
      <c r="N18" s="202"/>
      <c r="O18" s="202"/>
      <c r="P18" s="224"/>
      <c r="Q18" s="202"/>
      <c r="R18" s="202"/>
      <c r="S18" s="62"/>
    </row>
    <row r="19" spans="1:19" s="9" customFormat="1" ht="9" customHeight="1">
      <c r="A19" s="730"/>
      <c r="B19" s="760"/>
      <c r="C19" s="762"/>
      <c r="D19" s="181">
        <f>IF($C18="","",IF(AND($C18&gt;=1,$C18&lt;25),INDEX(ПодгПар!$AL$6:$AL$29,$C18,1),"Х"))</f>
      </c>
      <c r="E19" s="182">
        <f>IF($C18="","",IF(AND($C18&gt;=1,$C18&lt;25),INDEX(ПодгПар!$AJ$6:$AJ$29,$C18,1),""))</f>
      </c>
      <c r="F19" s="183">
        <f>IF($C18="","",IF(AND($C18&gt;=1,$C18&lt;25),INDEX(ПодгПар!$K$6:$K$29,$C18,1),""))</f>
      </c>
      <c r="G19" s="766" t="str">
        <f>IF(G20=0,CONCATENATE(D20,",",D21),IF(G20=1,D19,IF(G20=2,D21,"Х")))</f>
        <v>,</v>
      </c>
      <c r="H19" s="767"/>
      <c r="I19" s="768"/>
      <c r="J19" s="211"/>
      <c r="K19" s="212"/>
      <c r="L19" s="212"/>
      <c r="M19" s="227"/>
      <c r="N19" s="202"/>
      <c r="O19" s="202"/>
      <c r="P19" s="224"/>
      <c r="Q19" s="202"/>
      <c r="R19" s="202"/>
      <c r="S19" s="62"/>
    </row>
    <row r="20" spans="1:19" s="9" customFormat="1" ht="9" customHeight="1">
      <c r="A20" s="729">
        <f>IF($C20="","",IF(AND($C20&gt;=1,$C20&lt;33),INDEX(ПодгПар!$P$6:$P$29,$C20),""))</f>
      </c>
      <c r="B20" s="769">
        <v>4</v>
      </c>
      <c r="C20" s="788"/>
      <c r="D20" s="184">
        <f>IF($C20="","",IF(AND($C20&gt;=1,$C20&lt;25),INDEX(ПодгПар!$AB$6:$AB$29,$C20,1),"Х"))</f>
      </c>
      <c r="E20" s="185">
        <f>IF($C20="","",IF(AND($C20&gt;=1,$C20&lt;25),INDEX(ПодгПар!$W$6:$W$29,$C20,1),""))</f>
      </c>
      <c r="F20" s="186">
        <f>IF($C20="","",IF(AND($C20&gt;=1,$C20&lt;25),INDEX(ПодгПар!$F$6:$F$29,$C20,1),""))</f>
      </c>
      <c r="G20" s="196"/>
      <c r="H20" s="773"/>
      <c r="I20" s="773"/>
      <c r="J20" s="213"/>
      <c r="K20" s="212"/>
      <c r="L20" s="212"/>
      <c r="M20" s="227"/>
      <c r="N20" s="798"/>
      <c r="O20" s="798"/>
      <c r="P20" s="224"/>
      <c r="Q20" s="202"/>
      <c r="R20" s="202"/>
      <c r="S20" s="62"/>
    </row>
    <row r="21" spans="1:19" s="9" customFormat="1" ht="9" customHeight="1" thickBot="1">
      <c r="A21" s="748"/>
      <c r="B21" s="770"/>
      <c r="C21" s="789"/>
      <c r="D21" s="187">
        <f>IF($C20="","",IF(AND($C20&gt;=1,$C20&lt;25),INDEX(ПодгПар!$AL$6:$AL$29,$C20,1),"Х"))</f>
      </c>
      <c r="E21" s="188">
        <f>IF($C20="","",IF(AND($C20&gt;=1,$C20&lt;25),INDEX(ПодгПар!$AJ$6:$AJ$29,$C20,1),""))</f>
      </c>
      <c r="F21" s="189">
        <f>IF($C20="","",IF(AND($C20&gt;=1,$C20&lt;25),INDEX(ПодгПар!$K$6:$K$29,$C20,1),""))</f>
      </c>
      <c r="G21" s="201"/>
      <c r="H21" s="198"/>
      <c r="I21" s="198"/>
      <c r="J21" s="211"/>
      <c r="K21" s="212"/>
      <c r="L21" s="212"/>
      <c r="M21" s="791" t="str">
        <f>IF(M23=0,CONCATENATE("поб.",J15,",",J16),IF(M23=1,J15,IF(M23=2,J27,"Х")))</f>
        <v>поб.поб.МАТВЕЕВА,ХАБАРОВА,поб.,,,</v>
      </c>
      <c r="N21" s="792"/>
      <c r="O21" s="792"/>
      <c r="P21" s="224"/>
      <c r="Q21" s="202"/>
      <c r="R21" s="202"/>
      <c r="S21" s="62"/>
    </row>
    <row r="22" spans="1:19" s="9" customFormat="1" ht="9" customHeight="1">
      <c r="A22" s="776"/>
      <c r="B22" s="778"/>
      <c r="C22" s="780"/>
      <c r="D22" s="782"/>
      <c r="E22" s="190"/>
      <c r="F22" s="782"/>
      <c r="G22" s="200"/>
      <c r="H22" s="198"/>
      <c r="I22" s="198"/>
      <c r="J22" s="211"/>
      <c r="K22" s="212"/>
      <c r="L22" s="212"/>
      <c r="M22" s="793" t="str">
        <f>IF(M23=0,CONCATENATE(J27,",",J28),IF(M23=1,J16,IF(M23=2,J28,"Х")))</f>
        <v>поб.поб.,,,,,</v>
      </c>
      <c r="N22" s="794"/>
      <c r="O22" s="794"/>
      <c r="P22" s="229"/>
      <c r="Q22" s="202"/>
      <c r="R22" s="202"/>
      <c r="S22" s="62"/>
    </row>
    <row r="23" spans="1:19" s="9" customFormat="1" ht="9" customHeight="1" thickBot="1">
      <c r="A23" s="777"/>
      <c r="B23" s="779"/>
      <c r="C23" s="841"/>
      <c r="D23" s="783"/>
      <c r="E23" s="191"/>
      <c r="F23" s="783"/>
      <c r="G23" s="200"/>
      <c r="H23" s="198"/>
      <c r="I23" s="198"/>
      <c r="J23" s="213"/>
      <c r="K23" s="212"/>
      <c r="L23" s="212"/>
      <c r="M23" s="205"/>
      <c r="N23" s="773"/>
      <c r="O23" s="773"/>
      <c r="P23" s="226"/>
      <c r="Q23" s="202"/>
      <c r="R23" s="202"/>
      <c r="S23" s="62"/>
    </row>
    <row r="24" spans="1:19" s="9" customFormat="1" ht="9" customHeight="1">
      <c r="A24" s="758">
        <f>IF($C24="","",IF(AND($C24&gt;=1,$C24&lt;33),INDEX(ПодгПар!$P$6:$P$29,$C24),""))</f>
      </c>
      <c r="B24" s="759">
        <v>5</v>
      </c>
      <c r="C24" s="761"/>
      <c r="D24" s="178">
        <f>IF($C24="","",IF(AND($C24&gt;=1,$C24&lt;25),INDEX(ПодгПар!$AB$6:$AB$29,$C24,1),"Х"))</f>
      </c>
      <c r="E24" s="179">
        <f>IF($C24="","",IF(AND($C24&gt;=1,$C24&lt;25),INDEX(ПодгПар!$W$6:$W$29,$C24,1),""))</f>
      </c>
      <c r="F24" s="180">
        <f>IF($C24="","",IF(AND($C24&gt;=1,$C24&lt;25),INDEX(ПодгПар!$F$6:$F$29,$C24,1),""))</f>
      </c>
      <c r="G24" s="763" t="str">
        <f>IF(G26=0,CONCATENATE("поб.",D24,",",D25),IF(G26=1,D24,IF(G26=2,D26,"Х")))</f>
        <v>поб.,</v>
      </c>
      <c r="H24" s="764"/>
      <c r="I24" s="764"/>
      <c r="J24" s="216"/>
      <c r="K24" s="212"/>
      <c r="L24" s="212"/>
      <c r="M24" s="227"/>
      <c r="N24" s="202"/>
      <c r="O24" s="202"/>
      <c r="P24" s="227"/>
      <c r="Q24" s="202"/>
      <c r="R24" s="202"/>
      <c r="S24" s="62"/>
    </row>
    <row r="25" spans="1:19" s="9" customFormat="1" ht="9" customHeight="1">
      <c r="A25" s="730"/>
      <c r="B25" s="760"/>
      <c r="C25" s="762"/>
      <c r="D25" s="181">
        <f>IF($C24="","",IF(AND($C24&gt;=1,$C24&lt;25),INDEX(ПодгПар!$AL$6:$AL$29,$C24,1),"Х"))</f>
      </c>
      <c r="E25" s="182">
        <f>IF($C24="","",IF(AND($C24&gt;=1,$C24&lt;25),INDEX(ПодгПар!$AJ$6:$AJ$29,$C24,1),""))</f>
      </c>
      <c r="F25" s="183">
        <f>IF($C24="","",IF(AND($C24&gt;=1,$C24&lt;25),INDEX(ПодгПар!$K$6:$K$29,$C24,1),""))</f>
      </c>
      <c r="G25" s="766" t="str">
        <f>IF(G26=0,CONCATENATE(D26,",",D27),IF(G26=1,D25,IF(G26=2,D27,"Х")))</f>
        <v>,</v>
      </c>
      <c r="H25" s="767"/>
      <c r="I25" s="767"/>
      <c r="J25" s="211"/>
      <c r="K25" s="215"/>
      <c r="L25" s="215"/>
      <c r="M25" s="226"/>
      <c r="N25" s="202"/>
      <c r="O25" s="202"/>
      <c r="P25" s="227"/>
      <c r="Q25" s="202"/>
      <c r="R25" s="202"/>
      <c r="S25" s="62"/>
    </row>
    <row r="26" spans="1:19" s="9" customFormat="1" ht="9" customHeight="1">
      <c r="A26" s="729">
        <f>IF($C26="","",IF(AND($C26&gt;=1,$C26&lt;33),INDEX(ПодгПар!$P$6:$P$29,$C26),""))</f>
      </c>
      <c r="B26" s="769">
        <v>6</v>
      </c>
      <c r="C26" s="788"/>
      <c r="D26" s="184">
        <f>IF($C26="","",IF(AND($C26&gt;=1,$C26&lt;25),INDEX(ПодгПар!$AB$6:$AB$29,$C26,1),"Х"))</f>
      </c>
      <c r="E26" s="185">
        <f>IF($C26="","",IF(AND($C26&gt;=1,$C26&lt;25),INDEX(ПодгПар!$W$6:$W$29,$C26,1),""))</f>
      </c>
      <c r="F26" s="186">
        <f>IF($C26="","",IF(AND($C26&gt;=1,$C26&lt;25),INDEX(ПодгПар!$F$6:$F$29,$C26,1),""))</f>
      </c>
      <c r="G26" s="196"/>
      <c r="H26" s="773"/>
      <c r="I26" s="790"/>
      <c r="J26" s="213"/>
      <c r="K26" s="215"/>
      <c r="L26" s="215"/>
      <c r="M26" s="226"/>
      <c r="N26" s="202"/>
      <c r="O26" s="202"/>
      <c r="P26" s="227"/>
      <c r="Q26" s="202"/>
      <c r="R26" s="202"/>
      <c r="S26" s="62"/>
    </row>
    <row r="27" spans="1:19" s="9" customFormat="1" ht="9" customHeight="1" thickBot="1">
      <c r="A27" s="748"/>
      <c r="B27" s="770"/>
      <c r="C27" s="789"/>
      <c r="D27" s="187">
        <f>IF($C26="","",IF(AND($C26&gt;=1,$C26&lt;25),INDEX(ПодгПар!$AL$6:$AL$29,$C26,1),"Х"))</f>
      </c>
      <c r="E27" s="188">
        <f>IF($C26="","",IF(AND($C26&gt;=1,$C26&lt;25),INDEX(ПодгПар!$AJ$6:$AJ$29,$C26,1),""))</f>
      </c>
      <c r="F27" s="189">
        <f>IF($C26="","",IF(AND($C26&gt;=1,$C26&lt;25),INDEX(ПодгПар!$K$6:$K$29,$C26,1),""))</f>
      </c>
      <c r="G27" s="197"/>
      <c r="H27" s="198"/>
      <c r="I27" s="199"/>
      <c r="J27" s="774" t="str">
        <f>IF(J29=0,CONCATENATE("поб.",G24,",",G25),IF(J29=1,G24,IF(J29=2,G30,"Х")))</f>
        <v>поб.поб.,,,</v>
      </c>
      <c r="K27" s="775"/>
      <c r="L27" s="775"/>
      <c r="M27" s="226"/>
      <c r="N27" s="202"/>
      <c r="O27" s="202"/>
      <c r="P27" s="227"/>
      <c r="Q27" s="202"/>
      <c r="R27" s="202"/>
      <c r="S27" s="62"/>
    </row>
    <row r="28" spans="1:19" s="9" customFormat="1" ht="9" customHeight="1">
      <c r="A28" s="776"/>
      <c r="B28" s="778"/>
      <c r="C28" s="780"/>
      <c r="D28" s="782"/>
      <c r="E28" s="190"/>
      <c r="F28" s="782"/>
      <c r="G28" s="200"/>
      <c r="H28" s="198"/>
      <c r="I28" s="199"/>
      <c r="J28" s="784" t="str">
        <f>IF(J29=0,CONCATENATE(G30,",",G31),IF(J29=1,G25,IF(J29=2,G31,"Х")))</f>
        <v>,</v>
      </c>
      <c r="K28" s="785"/>
      <c r="L28" s="786"/>
      <c r="M28" s="226"/>
      <c r="N28" s="202"/>
      <c r="O28" s="202"/>
      <c r="P28" s="227"/>
      <c r="Q28" s="202"/>
      <c r="R28" s="202"/>
      <c r="S28" s="62"/>
    </row>
    <row r="29" spans="1:19" s="9" customFormat="1" ht="9" customHeight="1" thickBot="1">
      <c r="A29" s="777"/>
      <c r="B29" s="779"/>
      <c r="C29" s="841"/>
      <c r="D29" s="783"/>
      <c r="E29" s="191"/>
      <c r="F29" s="783"/>
      <c r="G29" s="200"/>
      <c r="H29" s="198"/>
      <c r="I29" s="199"/>
      <c r="J29" s="214"/>
      <c r="K29" s="787"/>
      <c r="L29" s="787"/>
      <c r="M29" s="225"/>
      <c r="N29" s="202"/>
      <c r="O29" s="202"/>
      <c r="P29" s="227"/>
      <c r="Q29" s="228"/>
      <c r="R29" s="228"/>
      <c r="S29" s="62"/>
    </row>
    <row r="30" spans="1:19" s="9" customFormat="1" ht="9" customHeight="1">
      <c r="A30" s="758">
        <f>IF($C30="","",IF(AND($C30&gt;=1,$C30&lt;33),INDEX(ПодгПар!$P$6:$P$29,$C30),""))</f>
      </c>
      <c r="B30" s="759">
        <v>7</v>
      </c>
      <c r="C30" s="842" t="s">
        <v>172</v>
      </c>
      <c r="D30" s="394" t="str">
        <f>IF($C30="","",IF(AND($C30&gt;=1,$C30&lt;25),INDEX(ПодгПар!$AB$6:$AB$29,$C30,1),"Х"))</f>
        <v>Х</v>
      </c>
      <c r="E30" s="395">
        <f>IF($C30="","",IF(AND($C30&gt;=1,$C30&lt;25),INDEX(ПодгПар!$W$6:$W$29,$C30,1),""))</f>
      </c>
      <c r="F30" s="396">
        <f>IF($C30="","",IF(AND($C30&gt;=1,$C30&lt;25),INDEX(ПодгПар!$F$6:$F$29,$C30,1),""))</f>
      </c>
      <c r="G30" s="763">
        <f>IF(G32=0,CONCATENATE("поб.",D30,",",D31),IF(G32=1,D30,IF(G32=2,D32,"Х")))</f>
      </c>
      <c r="H30" s="764"/>
      <c r="I30" s="765"/>
      <c r="J30" s="211"/>
      <c r="K30" s="212"/>
      <c r="L30" s="212"/>
      <c r="M30" s="224"/>
      <c r="N30" s="202"/>
      <c r="O30" s="202"/>
      <c r="P30" s="227"/>
      <c r="Q30" s="228"/>
      <c r="R30" s="228"/>
      <c r="S30" s="62"/>
    </row>
    <row r="31" spans="1:19" s="9" customFormat="1" ht="9" customHeight="1">
      <c r="A31" s="730"/>
      <c r="B31" s="760"/>
      <c r="C31" s="843"/>
      <c r="D31" s="397" t="str">
        <f>IF($C30="","",IF(AND($C30&gt;=1,$C30&lt;25),INDEX(ПодгПар!$AL$6:$AL$29,$C30,1),"Х"))</f>
        <v>Х</v>
      </c>
      <c r="E31" s="398">
        <f>IF($C30="","",IF(AND($C30&gt;=1,$C30&lt;25),INDEX(ПодгПар!$AJ$6:$AJ$29,$C30,1),""))</f>
      </c>
      <c r="F31" s="399">
        <f>IF($C30="","",IF(AND($C30&gt;=1,$C30&lt;25),INDEX(ПодгПар!$K$6:$K$29,$C30,1),""))</f>
      </c>
      <c r="G31" s="766">
        <f>IF(G32=0,CONCATENATE(D32,",",D33),IF(G32=1,D31,IF(G32=2,D33,"Х")))</f>
      </c>
      <c r="H31" s="767"/>
      <c r="I31" s="768"/>
      <c r="J31" s="211"/>
      <c r="K31" s="212"/>
      <c r="L31" s="212"/>
      <c r="M31" s="224"/>
      <c r="N31" s="202"/>
      <c r="O31" s="202"/>
      <c r="P31" s="227"/>
      <c r="Q31" s="202"/>
      <c r="R31" s="202"/>
      <c r="S31" s="62"/>
    </row>
    <row r="32" spans="1:19" s="9" customFormat="1" ht="9" customHeight="1">
      <c r="A32" s="729" t="str">
        <f>IF($C32="","5,6,7 или 8",IF(AND($C32&gt;=1,$C32&lt;33),INDEX(ПодгПар!$P$6:$P$29,$C32),""))</f>
        <v>5,6,7 или 8</v>
      </c>
      <c r="B32" s="769">
        <v>8</v>
      </c>
      <c r="C32" s="771"/>
      <c r="D32" s="184">
        <f>IF($C32="","",IF(AND($C32&gt;=1,$C32&lt;25),INDEX(ПодгПар!$AB$6:$AB$29,$C32,1),"Х"))</f>
      </c>
      <c r="E32" s="185">
        <f>IF($C32="","",IF(AND($C32&gt;=1,$C32&lt;25),INDEX(ПодгПар!$W$6:$W$29,$C32,1),""))</f>
      </c>
      <c r="F32" s="186">
        <f>IF($C32="","",IF(AND($C32&gt;=1,$C32&lt;25),INDEX(ПодгПар!$F$6:$F$29,$C32,1),""))</f>
      </c>
      <c r="G32" s="400">
        <v>2</v>
      </c>
      <c r="H32" s="846"/>
      <c r="I32" s="846"/>
      <c r="J32" s="213"/>
      <c r="K32" s="212"/>
      <c r="L32" s="212"/>
      <c r="M32" s="224"/>
      <c r="N32" s="202"/>
      <c r="O32" s="202"/>
      <c r="P32" s="227"/>
      <c r="Q32" s="202"/>
      <c r="R32" s="202"/>
      <c r="S32" s="62"/>
    </row>
    <row r="33" spans="1:19" s="9" customFormat="1" ht="9" customHeight="1" thickBot="1">
      <c r="A33" s="748"/>
      <c r="B33" s="770"/>
      <c r="C33" s="772"/>
      <c r="D33" s="187">
        <f>IF($C32="","",IF(AND($C32&gt;=1,$C32&lt;25),INDEX(ПодгПар!$AL$6:$AL$29,$C32,1),"Х"))</f>
      </c>
      <c r="E33" s="188">
        <f>IF($C32="","",IF(AND($C32&gt;=1,$C32&lt;25),INDEX(ПодгПар!$AJ$6:$AJ$29,$C32,1),""))</f>
      </c>
      <c r="F33" s="189">
        <f>IF($C32="","",IF(AND($C32&gt;=1,$C32&lt;25),INDEX(ПодгПар!$K$6:$K$29,$C32,1),""))</f>
      </c>
      <c r="G33" s="201"/>
      <c r="H33" s="198"/>
      <c r="I33" s="198"/>
      <c r="J33" s="211"/>
      <c r="K33" s="215"/>
      <c r="L33" s="215"/>
      <c r="M33" s="225"/>
      <c r="N33" s="202"/>
      <c r="O33" s="202"/>
      <c r="P33" s="791" t="str">
        <f>IF(P35=0,CONCATENATE("поб.",M21,",",M22),IF(P35=1,M21,IF(P35=2,M45,"Х")))</f>
        <v>поб.поб.поб.МАТВЕЕВА,ХАБАРОВА,поб.,,,,поб.поб.,,,,,</v>
      </c>
      <c r="Q33" s="792"/>
      <c r="R33" s="792"/>
      <c r="S33" s="62"/>
    </row>
    <row r="34" spans="1:19" s="9" customFormat="1" ht="9" customHeight="1">
      <c r="A34" s="776"/>
      <c r="B34" s="778"/>
      <c r="C34" s="780"/>
      <c r="D34" s="782"/>
      <c r="E34" s="190"/>
      <c r="F34" s="782"/>
      <c r="G34" s="200"/>
      <c r="H34" s="198"/>
      <c r="I34" s="198"/>
      <c r="J34" s="211"/>
      <c r="K34" s="215"/>
      <c r="L34" s="215"/>
      <c r="M34" s="225"/>
      <c r="N34" s="202"/>
      <c r="O34" s="202"/>
      <c r="P34" s="799" t="str">
        <f>IF(P35=0,CONCATENATE(M45,",",M46),IF(P35=1,M22,IF(P35=2,M46,"Х")))</f>
        <v>поб.поб.,,поб.,,,,поб.поб.,,,,,</v>
      </c>
      <c r="Q34" s="800"/>
      <c r="R34" s="800"/>
      <c r="S34" s="62"/>
    </row>
    <row r="35" spans="1:19" s="9" customFormat="1" ht="9" customHeight="1" thickBot="1">
      <c r="A35" s="777"/>
      <c r="B35" s="779"/>
      <c r="C35" s="841"/>
      <c r="D35" s="783"/>
      <c r="E35" s="191"/>
      <c r="F35" s="783"/>
      <c r="G35" s="200"/>
      <c r="H35" s="198"/>
      <c r="I35" s="198"/>
      <c r="J35" s="213"/>
      <c r="K35" s="212"/>
      <c r="L35" s="212"/>
      <c r="M35" s="224"/>
      <c r="N35" s="202"/>
      <c r="O35" s="202"/>
      <c r="P35" s="205"/>
      <c r="Q35" s="773"/>
      <c r="R35" s="790"/>
      <c r="S35" s="62"/>
    </row>
    <row r="36" spans="1:19" s="9" customFormat="1" ht="9" customHeight="1">
      <c r="A36" s="758" t="str">
        <f>IF($C36="","3 или 4",IF(AND($C36&gt;=1,$C36&lt;33),INDEX(ПодгПар!$P$6:$P$29,$C36),""))</f>
        <v>3 или 4</v>
      </c>
      <c r="B36" s="759">
        <v>9</v>
      </c>
      <c r="C36" s="796"/>
      <c r="D36" s="178">
        <f>IF($C36="","",IF(AND($C36&gt;=1,$C36&lt;25),INDEX(ПодгПар!$AB$6:$AB$29,$C36,1),"Х"))</f>
      </c>
      <c r="E36" s="179">
        <f>IF($C36="","",IF(AND($C36&gt;=1,$C36&lt;25),INDEX(ПодгПар!$W$6:$W$29,$C36,1),""))</f>
      </c>
      <c r="F36" s="180">
        <f>IF($C36="","",IF(AND($C36&gt;=1,$C36&lt;25),INDEX(ПодгПар!$F$6:$F$29,$C36,1),""))</f>
      </c>
      <c r="G36" s="763">
        <f>IF(G38=0,CONCATENATE("поб.",D36,",",D37),IF(G38=1,D36,IF(G38=2,D38,"Х")))</f>
      </c>
      <c r="H36" s="764"/>
      <c r="I36" s="764"/>
      <c r="J36" s="216"/>
      <c r="K36" s="212"/>
      <c r="L36" s="212"/>
      <c r="M36" s="224"/>
      <c r="N36" s="202"/>
      <c r="O36" s="202"/>
      <c r="P36" s="227"/>
      <c r="Q36" s="202"/>
      <c r="R36" s="230"/>
      <c r="S36" s="62"/>
    </row>
    <row r="37" spans="1:19" s="9" customFormat="1" ht="9" customHeight="1">
      <c r="A37" s="730"/>
      <c r="B37" s="760"/>
      <c r="C37" s="797"/>
      <c r="D37" s="181">
        <f>IF($C36="","",IF(AND($C36&gt;=1,$C36&lt;25),INDEX(ПодгПар!$AL$6:$AL$29,$C36,1),"Х"))</f>
      </c>
      <c r="E37" s="182">
        <f>IF($C36="","",IF(AND($C36&gt;=1,$C36&lt;25),INDEX(ПодгПар!$AJ$6:$AJ$29,$C36,1),""))</f>
      </c>
      <c r="F37" s="183">
        <f>IF($C36="","",IF(AND($C36&gt;=1,$C36&lt;25),INDEX(ПодгПар!$K$6:$K$29,$C36,1),""))</f>
      </c>
      <c r="G37" s="766">
        <f>IF(G38=0,CONCATENATE(D38,",",D39),IF(G38=1,D37,IF(G38=2,D39,"Х")))</f>
      </c>
      <c r="H37" s="767"/>
      <c r="I37" s="767"/>
      <c r="J37" s="211"/>
      <c r="K37" s="212"/>
      <c r="L37" s="212"/>
      <c r="M37" s="224"/>
      <c r="N37" s="228"/>
      <c r="O37" s="228"/>
      <c r="P37" s="226"/>
      <c r="Q37" s="202"/>
      <c r="R37" s="230"/>
      <c r="S37" s="62"/>
    </row>
    <row r="38" spans="1:19" s="9" customFormat="1" ht="9" customHeight="1">
      <c r="A38" s="729">
        <f>IF($C38="","",IF(AND($C38&gt;=1,$C38&lt;33),INDEX(ПодгПар!$P$6:$P$29,$C38),""))</f>
      </c>
      <c r="B38" s="769">
        <v>10</v>
      </c>
      <c r="C38" s="844" t="s">
        <v>172</v>
      </c>
      <c r="D38" s="388" t="str">
        <f>IF($C38="","",IF(AND($C38&gt;=1,$C38&lt;25),INDEX(ПодгПар!$AB$6:$AB$29,$C38,1),"Х"))</f>
        <v>Х</v>
      </c>
      <c r="E38" s="389">
        <f>IF($C38="","",IF(AND($C38&gt;=1,$C38&lt;25),INDEX(ПодгПар!$W$6:$W$29,$C38,1),""))</f>
      </c>
      <c r="F38" s="390">
        <f>IF($C38="","",IF(AND($C38&gt;=1,$C38&lt;25),INDEX(ПодгПар!$F$6:$F$29,$C38,1),""))</f>
      </c>
      <c r="G38" s="400">
        <v>1</v>
      </c>
      <c r="H38" s="846"/>
      <c r="I38" s="847"/>
      <c r="J38" s="213"/>
      <c r="K38" s="212"/>
      <c r="L38" s="212"/>
      <c r="M38" s="224"/>
      <c r="N38" s="228"/>
      <c r="O38" s="228"/>
      <c r="P38" s="226"/>
      <c r="Q38" s="202"/>
      <c r="R38" s="230"/>
      <c r="S38" s="62"/>
    </row>
    <row r="39" spans="1:19" s="9" customFormat="1" ht="9" customHeight="1" thickBot="1">
      <c r="A39" s="748"/>
      <c r="B39" s="770"/>
      <c r="C39" s="845"/>
      <c r="D39" s="391" t="str">
        <f>IF($C38="","",IF(AND($C38&gt;=1,$C38&lt;25),INDEX(ПодгПар!$AL$6:$AL$29,$C38,1),"Х"))</f>
        <v>Х</v>
      </c>
      <c r="E39" s="392">
        <f>IF($C38="","",IF(AND($C38&gt;=1,$C38&lt;25),INDEX(ПодгПар!$AJ$6:$AJ$29,$C38,1),""))</f>
      </c>
      <c r="F39" s="393">
        <f>IF($C38="","",IF(AND($C38&gt;=1,$C38&lt;25),INDEX(ПодгПар!$K$6:$K$29,$C38,1),""))</f>
      </c>
      <c r="G39" s="197"/>
      <c r="H39" s="198"/>
      <c r="I39" s="199"/>
      <c r="J39" s="774" t="str">
        <f>IF(J41=0,CONCATENATE("поб.",G36,",",G37),IF(J41=1,G36,IF(J41=2,G42,"Х")))</f>
        <v>поб.,</v>
      </c>
      <c r="K39" s="775"/>
      <c r="L39" s="775"/>
      <c r="M39" s="225"/>
      <c r="N39" s="202"/>
      <c r="O39" s="202"/>
      <c r="P39" s="227"/>
      <c r="Q39" s="202"/>
      <c r="R39" s="230"/>
      <c r="S39" s="62"/>
    </row>
    <row r="40" spans="1:19" s="9" customFormat="1" ht="9" customHeight="1">
      <c r="A40" s="776"/>
      <c r="B40" s="778"/>
      <c r="C40" s="780"/>
      <c r="D40" s="782"/>
      <c r="E40" s="190"/>
      <c r="F40" s="782"/>
      <c r="G40" s="200"/>
      <c r="H40" s="198"/>
      <c r="I40" s="199"/>
      <c r="J40" s="784" t="str">
        <f>IF(J41=0,CONCATENATE(G42,",",G43),IF(J41=1,G37,IF(J41=2,G43,"Х")))</f>
        <v>поб.,,,</v>
      </c>
      <c r="K40" s="785"/>
      <c r="L40" s="785"/>
      <c r="M40" s="225"/>
      <c r="N40" s="202"/>
      <c r="O40" s="202"/>
      <c r="P40" s="227"/>
      <c r="Q40" s="202"/>
      <c r="R40" s="230"/>
      <c r="S40" s="62"/>
    </row>
    <row r="41" spans="1:19" s="9" customFormat="1" ht="9" customHeight="1" thickBot="1">
      <c r="A41" s="777"/>
      <c r="B41" s="779"/>
      <c r="C41" s="841"/>
      <c r="D41" s="783"/>
      <c r="E41" s="191"/>
      <c r="F41" s="783"/>
      <c r="G41" s="200"/>
      <c r="H41" s="198"/>
      <c r="I41" s="199"/>
      <c r="J41" s="214"/>
      <c r="K41" s="795"/>
      <c r="L41" s="795"/>
      <c r="M41" s="226"/>
      <c r="N41" s="202"/>
      <c r="O41" s="202"/>
      <c r="P41" s="227"/>
      <c r="Q41" s="202"/>
      <c r="R41" s="230"/>
      <c r="S41" s="62"/>
    </row>
    <row r="42" spans="1:19" s="9" customFormat="1" ht="9" customHeight="1">
      <c r="A42" s="758">
        <f>IF($C42="","",IF(AND($C42&gt;=1,$C42&lt;33),INDEX(ПодгПар!$P$6:$P$29,$C42),""))</f>
      </c>
      <c r="B42" s="759">
        <v>11</v>
      </c>
      <c r="C42" s="761"/>
      <c r="D42" s="178">
        <f>IF($C42="","",IF(AND($C42&gt;=1,$C42&lt;25),INDEX(ПодгПар!$AB$6:$AB$29,$C42,1),"Х"))</f>
      </c>
      <c r="E42" s="179">
        <f>IF($C42="","",IF(AND($C42&gt;=1,$C42&lt;25),INDEX(ПодгПар!$W$6:$W$29,$C42,1),""))</f>
      </c>
      <c r="F42" s="180">
        <f>IF($C42="","",IF(AND($C42&gt;=1,$C42&lt;25),INDEX(ПодгПар!$F$6:$F$29,$C42,1),""))</f>
      </c>
      <c r="G42" s="763" t="str">
        <f>IF(G44=0,CONCATENATE("поб.",D42,",",D43),IF(G44=1,D42,IF(G44=2,D44,"Х")))</f>
        <v>поб.,</v>
      </c>
      <c r="H42" s="764"/>
      <c r="I42" s="765"/>
      <c r="J42" s="211"/>
      <c r="K42" s="215"/>
      <c r="L42" s="215"/>
      <c r="M42" s="226"/>
      <c r="N42" s="202"/>
      <c r="O42" s="202"/>
      <c r="P42" s="227"/>
      <c r="Q42" s="202"/>
      <c r="R42" s="230"/>
      <c r="S42" s="62"/>
    </row>
    <row r="43" spans="1:19" s="9" customFormat="1" ht="9" customHeight="1">
      <c r="A43" s="730"/>
      <c r="B43" s="760"/>
      <c r="C43" s="762"/>
      <c r="D43" s="181">
        <f>IF($C42="","",IF(AND($C42&gt;=1,$C42&lt;25),INDEX(ПодгПар!$AL$6:$AL$29,$C42,1),"Х"))</f>
      </c>
      <c r="E43" s="182">
        <f>IF($C42="","",IF(AND($C42&gt;=1,$C42&lt;25),INDEX(ПодгПар!$AJ$6:$AJ$29,$C42,1),""))</f>
      </c>
      <c r="F43" s="183">
        <f>IF($C42="","",IF(AND($C42&gt;=1,$C42&lt;25),INDEX(ПодгПар!$K$6:$K$29,$C42,1),""))</f>
      </c>
      <c r="G43" s="766" t="str">
        <f>IF(G44=0,CONCATENATE(D44,",",D45),IF(G44=1,D43,IF(G44=2,D45,"Х")))</f>
        <v>,</v>
      </c>
      <c r="H43" s="767"/>
      <c r="I43" s="768"/>
      <c r="J43" s="211"/>
      <c r="K43" s="212"/>
      <c r="L43" s="212"/>
      <c r="M43" s="227"/>
      <c r="N43" s="202"/>
      <c r="O43" s="202"/>
      <c r="P43" s="227"/>
      <c r="Q43" s="202"/>
      <c r="R43" s="230"/>
      <c r="S43" s="72"/>
    </row>
    <row r="44" spans="1:19" s="9" customFormat="1" ht="9" customHeight="1">
      <c r="A44" s="729">
        <f>IF($C44="","",IF(AND($C44&gt;=1,$C44&lt;33),INDEX(ПодгПар!$P$6:$P$29,$C44),""))</f>
      </c>
      <c r="B44" s="769">
        <v>12</v>
      </c>
      <c r="C44" s="788"/>
      <c r="D44" s="184">
        <f>IF($C44="","",IF(AND($C44&gt;=1,$C44&lt;25),INDEX(ПодгПар!$AB$6:$AB$29,$C44,1),"Х"))</f>
      </c>
      <c r="E44" s="185">
        <f>IF($C44="","",IF(AND($C44&gt;=1,$C44&lt;25),INDEX(ПодгПар!$W$6:$W$29,$C44,1),""))</f>
      </c>
      <c r="F44" s="186">
        <f>IF($C44="","",IF(AND($C44&gt;=1,$C44&lt;25),INDEX(ПодгПар!$F$6:$F$29,$C44,1),""))</f>
      </c>
      <c r="G44" s="196"/>
      <c r="H44" s="773"/>
      <c r="I44" s="773"/>
      <c r="J44" s="213"/>
      <c r="K44" s="212"/>
      <c r="L44" s="212"/>
      <c r="M44" s="227"/>
      <c r="N44" s="202"/>
      <c r="O44" s="202"/>
      <c r="P44" s="227"/>
      <c r="Q44" s="202"/>
      <c r="R44" s="230"/>
      <c r="S44" s="73"/>
    </row>
    <row r="45" spans="1:19" s="9" customFormat="1" ht="9" customHeight="1" thickBot="1">
      <c r="A45" s="748"/>
      <c r="B45" s="770"/>
      <c r="C45" s="789"/>
      <c r="D45" s="187">
        <f>IF($C44="","",IF(AND($C44&gt;=1,$C44&lt;25),INDEX(ПодгПар!$AL$6:$AL$29,$C44,1),"Х"))</f>
      </c>
      <c r="E45" s="188">
        <f>IF($C44="","",IF(AND($C44&gt;=1,$C44&lt;25),INDEX(ПодгПар!$AJ$6:$AJ$29,$C44,1),""))</f>
      </c>
      <c r="F45" s="189">
        <f>IF($C44="","",IF(AND($C44&gt;=1,$C44&lt;25),INDEX(ПодгПар!$K$6:$K$29,$C44,1),""))</f>
      </c>
      <c r="G45" s="201"/>
      <c r="H45" s="198"/>
      <c r="I45" s="198"/>
      <c r="J45" s="211"/>
      <c r="K45" s="212"/>
      <c r="L45" s="212"/>
      <c r="M45" s="791" t="str">
        <f>IF(M47=0,CONCATENATE("поб.",J39,",",J40),IF(M47=1,J39,IF(M47=2,J51,"Х")))</f>
        <v>поб.поб.,,поб.,,,</v>
      </c>
      <c r="N45" s="792"/>
      <c r="O45" s="792"/>
      <c r="P45" s="227"/>
      <c r="Q45" s="202"/>
      <c r="R45" s="230"/>
      <c r="S45" s="73"/>
    </row>
    <row r="46" spans="1:19" s="9" customFormat="1" ht="9" customHeight="1">
      <c r="A46" s="776"/>
      <c r="B46" s="778"/>
      <c r="C46" s="780"/>
      <c r="D46" s="782"/>
      <c r="E46" s="190"/>
      <c r="F46" s="782"/>
      <c r="G46" s="200"/>
      <c r="H46" s="198"/>
      <c r="I46" s="198"/>
      <c r="J46" s="211"/>
      <c r="K46" s="212"/>
      <c r="L46" s="212"/>
      <c r="M46" s="793" t="str">
        <f>IF(M47=0,CONCATENATE(J51,",",J52),IF(M47=1,J40,IF(M47=2,J52,"Х")))</f>
        <v>поб.поб.,,,,,</v>
      </c>
      <c r="N46" s="794"/>
      <c r="O46" s="794"/>
      <c r="P46" s="227"/>
      <c r="Q46" s="228"/>
      <c r="R46" s="231"/>
      <c r="S46" s="73"/>
    </row>
    <row r="47" spans="1:19" s="9" customFormat="1" ht="9" customHeight="1" thickBot="1">
      <c r="A47" s="777"/>
      <c r="B47" s="779"/>
      <c r="C47" s="841"/>
      <c r="D47" s="783"/>
      <c r="E47" s="191"/>
      <c r="F47" s="783"/>
      <c r="G47" s="200"/>
      <c r="H47" s="198"/>
      <c r="I47" s="198"/>
      <c r="J47" s="213"/>
      <c r="K47" s="212"/>
      <c r="L47" s="212"/>
      <c r="M47" s="205"/>
      <c r="N47" s="773"/>
      <c r="O47" s="773"/>
      <c r="P47" s="225"/>
      <c r="Q47" s="228"/>
      <c r="R47" s="231"/>
      <c r="S47" s="72"/>
    </row>
    <row r="48" spans="1:19" s="9" customFormat="1" ht="9" customHeight="1">
      <c r="A48" s="758">
        <f>IF($C48="","",IF(AND($C48&gt;=1,$C48&lt;33),INDEX(ПодгПар!$P$6:$P$29,$C48),""))</f>
      </c>
      <c r="B48" s="759">
        <v>13</v>
      </c>
      <c r="C48" s="761"/>
      <c r="D48" s="178">
        <f>IF($C48="","",IF(AND($C48&gt;=1,$C48&lt;25),INDEX(ПодгПар!$AB$6:$AB$29,$C48,1),"Х"))</f>
      </c>
      <c r="E48" s="179">
        <f>IF($C48="","",IF(AND($C48&gt;=1,$C48&lt;25),INDEX(ПодгПар!$W$6:$W$29,$C48,1),""))</f>
      </c>
      <c r="F48" s="180">
        <f>IF($C48="","",IF(AND($C48&gt;=1,$C48&lt;25),INDEX(ПодгПар!$F$6:$F$29,$C48,1),""))</f>
      </c>
      <c r="G48" s="763" t="str">
        <f>IF(G50=0,CONCATENATE("поб.",D48,",",D49),IF(G50=1,D48,IF(G50=2,D50,"Х")))</f>
        <v>поб.,</v>
      </c>
      <c r="H48" s="764"/>
      <c r="I48" s="764"/>
      <c r="J48" s="216"/>
      <c r="K48" s="212"/>
      <c r="L48" s="212"/>
      <c r="M48" s="227"/>
      <c r="N48" s="202"/>
      <c r="O48" s="202"/>
      <c r="P48" s="224"/>
      <c r="Q48" s="202"/>
      <c r="R48" s="230"/>
      <c r="S48" s="62"/>
    </row>
    <row r="49" spans="1:19" s="9" customFormat="1" ht="9" customHeight="1">
      <c r="A49" s="730"/>
      <c r="B49" s="760"/>
      <c r="C49" s="762"/>
      <c r="D49" s="181">
        <f>IF($C48="","",IF(AND($C48&gt;=1,$C48&lt;25),INDEX(ПодгПар!$AL$6:$AL$29,$C48,1),"Х"))</f>
      </c>
      <c r="E49" s="182">
        <f>IF($C48="","",IF(AND($C48&gt;=1,$C48&lt;25),INDEX(ПодгПар!$AJ$6:$AJ$29,$C48,1),""))</f>
      </c>
      <c r="F49" s="183">
        <f>IF($C48="","",IF(AND($C48&gt;=1,$C48&lt;25),INDEX(ПодгПар!$K$6:$K$29,$C48,1),""))</f>
      </c>
      <c r="G49" s="766" t="str">
        <f>IF(G50=0,CONCATENATE(D50,",",D51),IF(G50=1,D49,IF(G50=2,D51,"Х")))</f>
        <v>,</v>
      </c>
      <c r="H49" s="767"/>
      <c r="I49" s="767"/>
      <c r="J49" s="211"/>
      <c r="K49" s="215"/>
      <c r="L49" s="215"/>
      <c r="M49" s="226"/>
      <c r="N49" s="202"/>
      <c r="O49" s="202"/>
      <c r="P49" s="224"/>
      <c r="Q49" s="202"/>
      <c r="R49" s="230"/>
      <c r="S49" s="62"/>
    </row>
    <row r="50" spans="1:19" s="9" customFormat="1" ht="9" customHeight="1">
      <c r="A50" s="729">
        <f>IF($C50="","",IF(AND($C50&gt;=1,$C50&lt;33),INDEX(ПодгПар!$P$6:$P$29,$C50),""))</f>
      </c>
      <c r="B50" s="769">
        <v>14</v>
      </c>
      <c r="C50" s="788"/>
      <c r="D50" s="184">
        <f>IF($C50="","",IF(AND($C50&gt;=1,$C50&lt;25),INDEX(ПодгПар!$AB$6:$AB$29,$C50,1),"Х"))</f>
      </c>
      <c r="E50" s="185">
        <f>IF($C50="","",IF(AND($C50&gt;=1,$C50&lt;25),INDEX(ПодгПар!$W$6:$W$29,$C50,1),""))</f>
      </c>
      <c r="F50" s="186">
        <f>IF($C50="","",IF(AND($C50&gt;=1,$C50&lt;25),INDEX(ПодгПар!$F$6:$F$29,$C50,1),""))</f>
      </c>
      <c r="G50" s="196"/>
      <c r="H50" s="773"/>
      <c r="I50" s="790"/>
      <c r="J50" s="213"/>
      <c r="K50" s="215"/>
      <c r="L50" s="215"/>
      <c r="M50" s="226"/>
      <c r="N50" s="202"/>
      <c r="O50" s="202"/>
      <c r="P50" s="224"/>
      <c r="Q50" s="202"/>
      <c r="R50" s="230"/>
      <c r="S50" s="62"/>
    </row>
    <row r="51" spans="1:19" s="9" customFormat="1" ht="9" customHeight="1" thickBot="1">
      <c r="A51" s="748"/>
      <c r="B51" s="770"/>
      <c r="C51" s="789"/>
      <c r="D51" s="187">
        <f>IF($C50="","",IF(AND($C50&gt;=1,$C50&lt;25),INDEX(ПодгПар!$AL$6:$AL$29,$C50,1),"Х"))</f>
      </c>
      <c r="E51" s="188">
        <f>IF($C50="","",IF(AND($C50&gt;=1,$C50&lt;25),INDEX(ПодгПар!$AJ$6:$AJ$29,$C50,1),""))</f>
      </c>
      <c r="F51" s="189">
        <f>IF($C50="","",IF(AND($C50&gt;=1,$C50&lt;25),INDEX(ПодгПар!$K$6:$K$29,$C50,1),""))</f>
      </c>
      <c r="G51" s="197"/>
      <c r="H51" s="198"/>
      <c r="I51" s="199"/>
      <c r="J51" s="774" t="str">
        <f>IF(J53=0,CONCATENATE("поб.",G48,",",G49),IF(J53=1,G48,IF(J53=2,G54,"Х")))</f>
        <v>поб.поб.,,,</v>
      </c>
      <c r="K51" s="775"/>
      <c r="L51" s="775"/>
      <c r="M51" s="226"/>
      <c r="N51" s="202"/>
      <c r="O51" s="202"/>
      <c r="P51" s="224"/>
      <c r="Q51" s="202"/>
      <c r="R51" s="230"/>
      <c r="S51" s="62"/>
    </row>
    <row r="52" spans="1:19" s="9" customFormat="1" ht="9" customHeight="1">
      <c r="A52" s="776"/>
      <c r="B52" s="778"/>
      <c r="C52" s="780"/>
      <c r="D52" s="782"/>
      <c r="E52" s="190"/>
      <c r="F52" s="782"/>
      <c r="G52" s="200"/>
      <c r="H52" s="198"/>
      <c r="I52" s="199"/>
      <c r="J52" s="784" t="str">
        <f>IF(J53=0,CONCATENATE(G54,",",G55),IF(J53=1,G49,IF(J53=2,G55,"Х")))</f>
        <v>,</v>
      </c>
      <c r="K52" s="785"/>
      <c r="L52" s="786"/>
      <c r="M52" s="226"/>
      <c r="N52" s="202"/>
      <c r="O52" s="202"/>
      <c r="P52" s="224"/>
      <c r="Q52" s="202"/>
      <c r="R52" s="230"/>
      <c r="S52" s="62"/>
    </row>
    <row r="53" spans="1:19" s="9" customFormat="1" ht="9" customHeight="1" thickBot="1">
      <c r="A53" s="777"/>
      <c r="B53" s="779"/>
      <c r="C53" s="841"/>
      <c r="D53" s="783"/>
      <c r="E53" s="191"/>
      <c r="F53" s="783"/>
      <c r="G53" s="200"/>
      <c r="H53" s="198"/>
      <c r="I53" s="199"/>
      <c r="J53" s="214"/>
      <c r="K53" s="787"/>
      <c r="L53" s="787"/>
      <c r="M53" s="225"/>
      <c r="N53" s="228"/>
      <c r="O53" s="228"/>
      <c r="P53" s="225"/>
      <c r="Q53" s="202"/>
      <c r="R53" s="230"/>
      <c r="S53" s="62"/>
    </row>
    <row r="54" spans="1:19" s="9" customFormat="1" ht="9" customHeight="1">
      <c r="A54" s="758">
        <f>IF($C54="","",IF($C54="Х","",INDEX(ПодгПар!$P$6:$P$29,$C54)))</f>
      </c>
      <c r="B54" s="759">
        <v>15</v>
      </c>
      <c r="C54" s="842" t="s">
        <v>172</v>
      </c>
      <c r="D54" s="394" t="str">
        <f>IF($C54="","",IF(AND($C54&gt;=1,$C54&lt;25),INDEX(ПодгПар!$AB$6:$AB$29,$C54,1),"Х"))</f>
        <v>Х</v>
      </c>
      <c r="E54" s="395">
        <f>IF($C54="","",IF(AND($C54&gt;=1,$C54&lt;25),INDEX(ПодгПар!$W$6:$W$29,$C54,1),""))</f>
      </c>
      <c r="F54" s="396">
        <f>IF($C54="","",IF(AND($C54&gt;=1,$C54&lt;25),INDEX(ПодгПар!$F$6:$F$29,$C54,1),""))</f>
      </c>
      <c r="G54" s="763">
        <f>IF(G56=0,CONCATENATE("поб.",D54,",",D55),IF(G56=1,D54,IF(G56=2,D56,"Х")))</f>
      </c>
      <c r="H54" s="764"/>
      <c r="I54" s="765"/>
      <c r="J54" s="211"/>
      <c r="K54" s="212"/>
      <c r="L54" s="212"/>
      <c r="M54" s="225"/>
      <c r="N54" s="228"/>
      <c r="O54" s="228"/>
      <c r="P54" s="225"/>
      <c r="Q54" s="202"/>
      <c r="R54" s="230"/>
      <c r="S54" s="62"/>
    </row>
    <row r="55" spans="1:19" s="9" customFormat="1" ht="9" customHeight="1">
      <c r="A55" s="730"/>
      <c r="B55" s="760"/>
      <c r="C55" s="843"/>
      <c r="D55" s="397" t="str">
        <f>IF($C54="","",IF(AND($C54&gt;=1,$C54&lt;25),INDEX(ПодгПар!$AL$6:$AL$29,$C54,1),"Х"))</f>
        <v>Х</v>
      </c>
      <c r="E55" s="398">
        <f>IF($C54="","",IF(AND($C54&gt;=1,$C54&lt;25),INDEX(ПодгПар!$AJ$6:$AJ$29,$C54,1),""))</f>
      </c>
      <c r="F55" s="399">
        <f>IF($C54="","",IF(AND($C54&gt;=1,$C54&lt;25),INDEX(ПодгПар!$K$6:$K$29,$C54,1),""))</f>
      </c>
      <c r="G55" s="766">
        <f>IF(G56=0,CONCATENATE(D56,",",D57),IF(G56=1,D55,IF(G56=2,D57,"Х")))</f>
      </c>
      <c r="H55" s="767"/>
      <c r="I55" s="768"/>
      <c r="J55" s="211"/>
      <c r="K55" s="212"/>
      <c r="L55" s="212"/>
      <c r="M55" s="224"/>
      <c r="N55" s="202"/>
      <c r="O55" s="202"/>
      <c r="P55" s="224"/>
      <c r="Q55" s="202"/>
      <c r="R55" s="230"/>
      <c r="S55" s="62"/>
    </row>
    <row r="56" spans="1:19" s="9" customFormat="1" ht="9" customHeight="1">
      <c r="A56" s="729" t="str">
        <f>IF($C56="","5,6,7 или 8",IF(AND($C56&gt;=1,$C56&lt;33),INDEX(ПодгПар!$P$6:$P$29,$C56),""))</f>
        <v>5,6,7 или 8</v>
      </c>
      <c r="B56" s="769">
        <v>16</v>
      </c>
      <c r="C56" s="771"/>
      <c r="D56" s="184">
        <f>IF($C56="","",IF(AND($C56&gt;=1,$C56&lt;25),INDEX(ПодгПар!$AB$6:$AB$29,$C56,1),"Х"))</f>
      </c>
      <c r="E56" s="185">
        <f>IF($C56="","",IF(AND($C56&gt;=1,$C56&lt;25),INDEX(ПодгПар!$W$6:$W$29,$C56,1),""))</f>
      </c>
      <c r="F56" s="186">
        <f>IF($C56="","",IF(AND($C56&gt;=1,$C56&lt;25),INDEX(ПодгПар!$F$6:$F$29,$C56,1),""))</f>
      </c>
      <c r="G56" s="400">
        <v>2</v>
      </c>
      <c r="H56" s="846"/>
      <c r="I56" s="846"/>
      <c r="J56" s="217"/>
      <c r="K56" s="212"/>
      <c r="L56" s="212"/>
      <c r="M56" s="224"/>
      <c r="N56" s="202"/>
      <c r="O56" s="202"/>
      <c r="P56" s="224"/>
      <c r="Q56" s="202"/>
      <c r="R56" s="230"/>
      <c r="S56" s="62"/>
    </row>
    <row r="57" spans="1:19" s="9" customFormat="1" ht="9" customHeight="1" thickBot="1">
      <c r="A57" s="748"/>
      <c r="B57" s="770"/>
      <c r="C57" s="772"/>
      <c r="D57" s="187">
        <f>IF($C56="","",IF(AND($C56&gt;=1,$C56&lt;25),INDEX(ПодгПар!$AL$6:$AL$29,$C56,1),"Х"))</f>
      </c>
      <c r="E57" s="188">
        <f>IF($C56="","",IF(AND($C56&gt;=1,$C56&lt;25),INDEX(ПодгПар!$AJ$6:$AJ$29,$C56,1),""))</f>
      </c>
      <c r="F57" s="189">
        <f>IF($C56="","",IF(AND($C56&gt;=1,$C56&lt;25),INDEX(ПодгПар!$K$6:$K$29,$C56,1),""))</f>
      </c>
      <c r="G57" s="201"/>
      <c r="H57" s="198"/>
      <c r="I57" s="198"/>
      <c r="J57" s="193"/>
      <c r="K57" s="215"/>
      <c r="L57" s="215"/>
      <c r="M57" s="225"/>
      <c r="N57" s="202"/>
      <c r="O57" s="202"/>
      <c r="P57" s="224"/>
      <c r="Q57" s="792">
        <f>IF(P59=0,"",IF(P59=1,P33,IF(P59=2,P81,"Х")))</f>
      </c>
      <c r="R57" s="829"/>
      <c r="S57" s="72"/>
    </row>
    <row r="58" spans="1:19" s="9" customFormat="1" ht="9" customHeight="1">
      <c r="A58" s="108"/>
      <c r="B58" s="109"/>
      <c r="C58" s="235"/>
      <c r="D58" s="179"/>
      <c r="E58" s="179"/>
      <c r="F58" s="179"/>
      <c r="G58" s="197"/>
      <c r="H58" s="198"/>
      <c r="I58" s="198"/>
      <c r="J58" s="193"/>
      <c r="K58" s="215"/>
      <c r="L58" s="215"/>
      <c r="M58" s="225"/>
      <c r="N58" s="202"/>
      <c r="O58" s="202"/>
      <c r="P58" s="224"/>
      <c r="Q58" s="800">
        <f>IF(P59=0,"",IF(P59=1,P34,IF(P59=2,P82,"Х")))</f>
      </c>
      <c r="R58" s="830"/>
      <c r="S58" s="72"/>
    </row>
    <row r="59" spans="1:19" s="9" customFormat="1" ht="9" customHeight="1" thickBot="1">
      <c r="A59" s="110"/>
      <c r="B59" s="111"/>
      <c r="C59" s="236"/>
      <c r="D59" s="188"/>
      <c r="E59" s="188"/>
      <c r="F59" s="188"/>
      <c r="G59" s="197"/>
      <c r="H59" s="198"/>
      <c r="I59" s="198"/>
      <c r="J59" s="193"/>
      <c r="K59" s="215"/>
      <c r="L59" s="215"/>
      <c r="M59" s="225"/>
      <c r="N59" s="202"/>
      <c r="O59" s="202"/>
      <c r="P59" s="232"/>
      <c r="Q59" s="831"/>
      <c r="R59" s="832"/>
      <c r="S59" s="72"/>
    </row>
    <row r="60" spans="1:18" s="53" customFormat="1" ht="9" customHeight="1">
      <c r="A60" s="758" t="str">
        <f>IF($C60="","5,6,7 или 8",IF(AND($C60&gt;=1,$C60&lt;33),INDEX(ПодгПар!$P$6:$P$29,$C60),""))</f>
        <v>5,6,7 или 8</v>
      </c>
      <c r="B60" s="759">
        <v>17</v>
      </c>
      <c r="C60" s="796"/>
      <c r="D60" s="178">
        <f>IF($C60="","",IF(AND($C60&gt;=1,$C60&lt;25),INDEX(ПодгПар!$AB$6:$AB$29,$C60,1),"Х"))</f>
      </c>
      <c r="E60" s="179">
        <f>IF($C60="","",IF(AND($C60&gt;=1,$C60&lt;25),INDEX(ПодгПар!$W$6:$W$29,$C60,1),""))</f>
      </c>
      <c r="F60" s="180">
        <f>IF($C60="","",IF(AND($C60&gt;=1,$C60&lt;25),INDEX(ПодгПар!$F$6:$F$29,$C60,1),""))</f>
      </c>
      <c r="G60" s="763">
        <f>IF(G62=0,CONCATENATE("поб.",D60,",",D61),IF(G62=1,D60,IF(G62=2,D62,"Х")))</f>
      </c>
      <c r="H60" s="764"/>
      <c r="I60" s="764"/>
      <c r="J60" s="209"/>
      <c r="K60" s="210"/>
      <c r="L60" s="210"/>
      <c r="M60" s="223"/>
      <c r="N60" s="223"/>
      <c r="O60" s="223"/>
      <c r="P60" s="233"/>
      <c r="Q60" s="223"/>
      <c r="R60" s="234"/>
    </row>
    <row r="61" spans="1:19" s="9" customFormat="1" ht="9" customHeight="1">
      <c r="A61" s="730"/>
      <c r="B61" s="760"/>
      <c r="C61" s="797"/>
      <c r="D61" s="181">
        <f>IF($C60="","",IF(AND($C60&gt;=1,$C60&lt;25),INDEX(ПодгПар!$AL$6:$AL$29,$C60,1),"Х"))</f>
      </c>
      <c r="E61" s="182">
        <f>IF($C60="","",IF(AND($C60&gt;=1,$C60&lt;25),INDEX(ПодгПар!$AJ$6:$AJ$29,$C60,1),""))</f>
      </c>
      <c r="F61" s="183">
        <f>IF($C60="","",IF(AND($C60&gt;=1,$C60&lt;25),INDEX(ПодгПар!$K$6:$K$29,$C60,1),""))</f>
      </c>
      <c r="G61" s="766">
        <f>IF(G62=0,CONCATENATE(D62,",",D63),IF(G62=1,D61,IF(G62=2,D63,"Х")))</f>
      </c>
      <c r="H61" s="767"/>
      <c r="I61" s="767"/>
      <c r="J61" s="211"/>
      <c r="K61" s="212"/>
      <c r="L61" s="212"/>
      <c r="M61" s="224"/>
      <c r="N61" s="202"/>
      <c r="O61" s="202"/>
      <c r="P61" s="224"/>
      <c r="Q61" s="202"/>
      <c r="R61" s="230"/>
      <c r="S61" s="62"/>
    </row>
    <row r="62" spans="1:19" s="9" customFormat="1" ht="9" customHeight="1">
      <c r="A62" s="729">
        <f>IF($C62="","",IF(AND($C62&gt;=1,$C62&lt;33),INDEX(ПодгПар!$P$6:$P$29,$C62),""))</f>
      </c>
      <c r="B62" s="769">
        <v>18</v>
      </c>
      <c r="C62" s="844" t="s">
        <v>172</v>
      </c>
      <c r="D62" s="388" t="str">
        <f>IF($C62="","",IF(AND($C62&gt;=1,$C62&lt;25),INDEX(ПодгПар!$AB$6:$AB$29,$C62,1),"Х"))</f>
        <v>Х</v>
      </c>
      <c r="E62" s="389">
        <f>IF($C62="","",IF(AND($C62&gt;=1,$C62&lt;25),INDEX(ПодгПар!$W$6:$W$29,$C62,1),""))</f>
      </c>
      <c r="F62" s="390">
        <f>IF($C62="","",IF(AND($C62&gt;=1,$C62&lt;25),INDEX(ПодгПар!$F$6:$F$29,$C62,1),""))</f>
      </c>
      <c r="G62" s="400">
        <v>1</v>
      </c>
      <c r="H62" s="846"/>
      <c r="I62" s="847"/>
      <c r="J62" s="213"/>
      <c r="K62" s="212"/>
      <c r="L62" s="212"/>
      <c r="M62" s="224"/>
      <c r="N62" s="202"/>
      <c r="O62" s="202"/>
      <c r="P62" s="224"/>
      <c r="Q62" s="202"/>
      <c r="R62" s="230"/>
      <c r="S62" s="62"/>
    </row>
    <row r="63" spans="1:19" s="9" customFormat="1" ht="9" customHeight="1" thickBot="1">
      <c r="A63" s="748"/>
      <c r="B63" s="770"/>
      <c r="C63" s="845"/>
      <c r="D63" s="391" t="str">
        <f>IF($C62="","",IF(AND($C62&gt;=1,$C62&lt;25),INDEX(ПодгПар!$AL$6:$AL$29,$C62,1),"Х"))</f>
        <v>Х</v>
      </c>
      <c r="E63" s="392">
        <f>IF($C62="","",IF(AND($C62&gt;=1,$C62&lt;25),INDEX(ПодгПар!$AJ$6:$AJ$29,$C62,1),""))</f>
      </c>
      <c r="F63" s="393">
        <f>IF($C62="","",IF(AND($C62&gt;=1,$C62&lt;25),INDEX(ПодгПар!$K$6:$K$29,$C62,1),""))</f>
      </c>
      <c r="G63" s="197"/>
      <c r="H63" s="198"/>
      <c r="I63" s="199"/>
      <c r="J63" s="774" t="str">
        <f>IF(J65=0,CONCATENATE("поб.",G60,",",G61),IF(J65=1,G60,IF(J65=2,G66,"Х")))</f>
        <v>поб.,</v>
      </c>
      <c r="K63" s="775"/>
      <c r="L63" s="775"/>
      <c r="M63" s="225"/>
      <c r="N63" s="202"/>
      <c r="O63" s="202"/>
      <c r="P63" s="224"/>
      <c r="Q63" s="202"/>
      <c r="R63" s="230"/>
      <c r="S63" s="62"/>
    </row>
    <row r="64" spans="1:19" s="9" customFormat="1" ht="9" customHeight="1">
      <c r="A64" s="776"/>
      <c r="B64" s="778"/>
      <c r="C64" s="780"/>
      <c r="D64" s="782"/>
      <c r="E64" s="190"/>
      <c r="F64" s="782"/>
      <c r="G64" s="200"/>
      <c r="H64" s="198"/>
      <c r="I64" s="199"/>
      <c r="J64" s="784" t="str">
        <f>IF(J65=0,CONCATENATE(G66,",",G67),IF(J65=1,G61,IF(J65=2,G67,"Х")))</f>
        <v>поб.,,,</v>
      </c>
      <c r="K64" s="785"/>
      <c r="L64" s="785"/>
      <c r="M64" s="225"/>
      <c r="N64" s="202"/>
      <c r="O64" s="202"/>
      <c r="P64" s="224"/>
      <c r="Q64" s="202"/>
      <c r="R64" s="230"/>
      <c r="S64" s="62"/>
    </row>
    <row r="65" spans="1:19" s="9" customFormat="1" ht="9" customHeight="1" thickBot="1">
      <c r="A65" s="777"/>
      <c r="B65" s="779"/>
      <c r="C65" s="841"/>
      <c r="D65" s="783"/>
      <c r="E65" s="191"/>
      <c r="F65" s="783"/>
      <c r="G65" s="200"/>
      <c r="H65" s="198"/>
      <c r="I65" s="199"/>
      <c r="J65" s="214"/>
      <c r="K65" s="795"/>
      <c r="L65" s="795"/>
      <c r="M65" s="226"/>
      <c r="N65" s="202"/>
      <c r="O65" s="202"/>
      <c r="P65" s="224"/>
      <c r="Q65" s="202"/>
      <c r="R65" s="230"/>
      <c r="S65" s="62"/>
    </row>
    <row r="66" spans="1:19" s="9" customFormat="1" ht="9" customHeight="1">
      <c r="A66" s="758">
        <f>IF($C66="","",IF(AND($C66&gt;=1,$C66&lt;33),INDEX(ПодгПар!$P$6:$P$29,$C66),""))</f>
      </c>
      <c r="B66" s="759">
        <v>19</v>
      </c>
      <c r="C66" s="761"/>
      <c r="D66" s="178">
        <f>IF($C66="","",IF(AND($C66&gt;=1,$C66&lt;25),INDEX(ПодгПар!$AB$6:$AB$29,$C66,1),"Х"))</f>
      </c>
      <c r="E66" s="179">
        <f>IF($C66="","",IF(AND($C66&gt;=1,$C66&lt;25),INDEX(ПодгПар!$W$6:$W$29,$C66,1),""))</f>
      </c>
      <c r="F66" s="180">
        <f>IF($C66="","",IF(AND($C66&gt;=1,$C66&lt;25),INDEX(ПодгПар!$F$6:$F$29,$C66,1),""))</f>
      </c>
      <c r="G66" s="763" t="str">
        <f>IF(G68=0,CONCATENATE("поб.",D66,",",D67),IF(G68=1,D66,IF(G68=2,D68,"Х")))</f>
        <v>поб.,</v>
      </c>
      <c r="H66" s="764"/>
      <c r="I66" s="765"/>
      <c r="J66" s="211"/>
      <c r="K66" s="215"/>
      <c r="L66" s="215"/>
      <c r="M66" s="226"/>
      <c r="N66" s="202"/>
      <c r="O66" s="202"/>
      <c r="P66" s="224"/>
      <c r="Q66" s="202"/>
      <c r="R66" s="230"/>
      <c r="S66" s="62"/>
    </row>
    <row r="67" spans="1:19" s="9" customFormat="1" ht="9" customHeight="1">
      <c r="A67" s="730"/>
      <c r="B67" s="760"/>
      <c r="C67" s="762"/>
      <c r="D67" s="181">
        <f>IF($C66="","",IF(AND($C66&gt;=1,$C66&lt;25),INDEX(ПодгПар!$AL$6:$AL$29,$C66,1),"Х"))</f>
      </c>
      <c r="E67" s="182">
        <f>IF($C66="","",IF(AND($C66&gt;=1,$C66&lt;25),INDEX(ПодгПар!$AJ$6:$AJ$29,$C66,1),""))</f>
      </c>
      <c r="F67" s="183">
        <f>IF($C66="","",IF(AND($C66&gt;=1,$C66&lt;25),INDEX(ПодгПар!$K$6:$K$29,$C66,1),""))</f>
      </c>
      <c r="G67" s="766" t="str">
        <f>IF(G68=0,CONCATENATE(D68,",",D69),IF(G68=1,D67,IF(G68=2,D69,"Х")))</f>
        <v>,</v>
      </c>
      <c r="H67" s="767"/>
      <c r="I67" s="768"/>
      <c r="J67" s="211"/>
      <c r="K67" s="212"/>
      <c r="L67" s="212"/>
      <c r="M67" s="227"/>
      <c r="N67" s="202"/>
      <c r="O67" s="202"/>
      <c r="P67" s="224"/>
      <c r="Q67" s="202"/>
      <c r="R67" s="230"/>
      <c r="S67" s="62"/>
    </row>
    <row r="68" spans="1:19" s="9" customFormat="1" ht="9" customHeight="1">
      <c r="A68" s="729">
        <f>IF($C68="","",IF(AND($C68&gt;=1,$C68&lt;33),INDEX(ПодгПар!$P$6:$P$29,$C68),""))</f>
      </c>
      <c r="B68" s="769">
        <v>20</v>
      </c>
      <c r="C68" s="788"/>
      <c r="D68" s="184">
        <f>IF($C68="","",IF(AND($C68&gt;=1,$C68&lt;25),INDEX(ПодгПар!$AB$6:$AB$29,$C68,1),"Х"))</f>
      </c>
      <c r="E68" s="185">
        <f>IF($C68="","",IF(AND($C68&gt;=1,$C68&lt;25),INDEX(ПодгПар!$W$6:$W$29,$C68,1),""))</f>
      </c>
      <c r="F68" s="186">
        <f>IF($C68="","",IF(AND($C68&gt;=1,$C68&lt;25),INDEX(ПодгПар!$F$6:$F$29,$C68,1),""))</f>
      </c>
      <c r="G68" s="196"/>
      <c r="H68" s="773"/>
      <c r="I68" s="773"/>
      <c r="J68" s="213"/>
      <c r="K68" s="212"/>
      <c r="L68" s="212"/>
      <c r="M68" s="227"/>
      <c r="N68" s="798"/>
      <c r="O68" s="798"/>
      <c r="P68" s="224"/>
      <c r="Q68" s="202"/>
      <c r="R68" s="230"/>
      <c r="S68" s="62"/>
    </row>
    <row r="69" spans="1:19" s="9" customFormat="1" ht="9" customHeight="1" thickBot="1">
      <c r="A69" s="748"/>
      <c r="B69" s="770"/>
      <c r="C69" s="789"/>
      <c r="D69" s="187">
        <f>IF($C68="","",IF(AND($C68&gt;=1,$C68&lt;25),INDEX(ПодгПар!$AL$6:$AL$29,$C68,1),"Х"))</f>
      </c>
      <c r="E69" s="188">
        <f>IF($C68="","",IF(AND($C68&gt;=1,$C68&lt;25),INDEX(ПодгПар!$AJ$6:$AJ$29,$C68,1),""))</f>
      </c>
      <c r="F69" s="189">
        <f>IF($C68="","",IF(AND($C68&gt;=1,$C68&lt;25),INDEX(ПодгПар!$K$6:$K$29,$C68,1),""))</f>
      </c>
      <c r="G69" s="201"/>
      <c r="H69" s="198"/>
      <c r="I69" s="198"/>
      <c r="J69" s="211"/>
      <c r="K69" s="212"/>
      <c r="L69" s="212"/>
      <c r="M69" s="791" t="str">
        <f>IF(M71=0,CONCATENATE("поб.",J63,",",J64),IF(M71=1,J63,IF(M71=2,J75,"Х")))</f>
        <v>поб.поб.,,поб.,,,</v>
      </c>
      <c r="N69" s="792"/>
      <c r="O69" s="792"/>
      <c r="P69" s="224"/>
      <c r="Q69" s="202"/>
      <c r="R69" s="230"/>
      <c r="S69" s="62"/>
    </row>
    <row r="70" spans="1:19" s="9" customFormat="1" ht="9" customHeight="1">
      <c r="A70" s="776"/>
      <c r="B70" s="778"/>
      <c r="C70" s="780"/>
      <c r="D70" s="782"/>
      <c r="E70" s="190"/>
      <c r="F70" s="782"/>
      <c r="G70" s="200"/>
      <c r="H70" s="198"/>
      <c r="I70" s="198"/>
      <c r="J70" s="211"/>
      <c r="K70" s="212"/>
      <c r="L70" s="212"/>
      <c r="M70" s="793" t="str">
        <f>IF(M71=0,CONCATENATE(J75,",",J76),IF(M71=1,J64,IF(M71=2,J76,"Х")))</f>
        <v>поб.поб.,,,,,</v>
      </c>
      <c r="N70" s="794"/>
      <c r="O70" s="794"/>
      <c r="P70" s="229"/>
      <c r="Q70" s="202"/>
      <c r="R70" s="230"/>
      <c r="S70" s="62"/>
    </row>
    <row r="71" spans="1:19" s="9" customFormat="1" ht="9" customHeight="1" thickBot="1">
      <c r="A71" s="777"/>
      <c r="B71" s="779"/>
      <c r="C71" s="841"/>
      <c r="D71" s="783"/>
      <c r="E71" s="191"/>
      <c r="F71" s="783"/>
      <c r="G71" s="200"/>
      <c r="H71" s="198"/>
      <c r="I71" s="198"/>
      <c r="J71" s="213"/>
      <c r="K71" s="212"/>
      <c r="L71" s="212"/>
      <c r="M71" s="205"/>
      <c r="N71" s="773"/>
      <c r="O71" s="773"/>
      <c r="P71" s="226"/>
      <c r="Q71" s="202"/>
      <c r="R71" s="230"/>
      <c r="S71" s="62"/>
    </row>
    <row r="72" spans="1:19" s="9" customFormat="1" ht="9" customHeight="1">
      <c r="A72" s="758">
        <f>IF($C72="","",IF(AND($C72&gt;=1,$C72&lt;33),INDEX(ПодгПар!$P$6:$P$29,$C72),""))</f>
      </c>
      <c r="B72" s="759">
        <v>21</v>
      </c>
      <c r="C72" s="761"/>
      <c r="D72" s="178">
        <f>IF($C72="","",IF(AND($C72&gt;=1,$C72&lt;25),INDEX(ПодгПар!$AB$6:$AB$29,$C72,1),"Х"))</f>
      </c>
      <c r="E72" s="179">
        <f>IF($C72="","",IF(AND($C72&gt;=1,$C72&lt;25),INDEX(ПодгПар!$W$6:$W$29,$C72,1),""))</f>
      </c>
      <c r="F72" s="180">
        <f>IF($C72="","",IF(AND($C72&gt;=1,$C72&lt;25),INDEX(ПодгПар!$F$6:$F$29,$C72,1),""))</f>
      </c>
      <c r="G72" s="763" t="str">
        <f>IF(G74=0,CONCATENATE("поб.",D72,",",D73),IF(G74=1,D72,IF(G74=2,D74,"Х")))</f>
        <v>поб.,</v>
      </c>
      <c r="H72" s="764"/>
      <c r="I72" s="764"/>
      <c r="J72" s="216"/>
      <c r="K72" s="212"/>
      <c r="L72" s="212"/>
      <c r="M72" s="227"/>
      <c r="N72" s="202"/>
      <c r="O72" s="202"/>
      <c r="P72" s="227"/>
      <c r="Q72" s="202"/>
      <c r="R72" s="230"/>
      <c r="S72" s="62"/>
    </row>
    <row r="73" spans="1:19" s="9" customFormat="1" ht="9" customHeight="1">
      <c r="A73" s="730"/>
      <c r="B73" s="760"/>
      <c r="C73" s="762"/>
      <c r="D73" s="181">
        <f>IF($C72="","",IF(AND($C72&gt;=1,$C72&lt;25),INDEX(ПодгПар!$AL$6:$AL$29,$C72,1),"Х"))</f>
      </c>
      <c r="E73" s="182">
        <f>IF($C72="","",IF(AND($C72&gt;=1,$C72&lt;25),INDEX(ПодгПар!$AJ$6:$AJ$29,$C72,1),""))</f>
      </c>
      <c r="F73" s="183">
        <f>IF($C72="","",IF(AND($C72&gt;=1,$C72&lt;25),INDEX(ПодгПар!$K$6:$K$29,$C72,1),""))</f>
      </c>
      <c r="G73" s="766" t="str">
        <f>IF(G74=0,CONCATENATE(D74,",",D75),IF(G74=1,D73,IF(G74=2,D75,"Х")))</f>
        <v>,</v>
      </c>
      <c r="H73" s="767"/>
      <c r="I73" s="767"/>
      <c r="J73" s="211"/>
      <c r="K73" s="215"/>
      <c r="L73" s="215"/>
      <c r="M73" s="226"/>
      <c r="N73" s="202"/>
      <c r="O73" s="202"/>
      <c r="P73" s="227"/>
      <c r="Q73" s="202"/>
      <c r="R73" s="230"/>
      <c r="S73" s="62"/>
    </row>
    <row r="74" spans="1:19" s="9" customFormat="1" ht="9" customHeight="1">
      <c r="A74" s="729">
        <f>IF($C74="","",IF(AND($C74&gt;=1,$C74&lt;33),INDEX(ПодгПар!$P$6:$P$29,$C74),""))</f>
      </c>
      <c r="B74" s="769">
        <v>22</v>
      </c>
      <c r="C74" s="788"/>
      <c r="D74" s="184">
        <f>IF($C74="","",IF(AND($C74&gt;=1,$C74&lt;25),INDEX(ПодгПар!$AB$6:$AB$29,$C74,1),"Х"))</f>
      </c>
      <c r="E74" s="185">
        <f>IF($C74="","",IF(AND($C74&gt;=1,$C74&lt;25),INDEX(ПодгПар!$W$6:$W$29,$C74,1),""))</f>
      </c>
      <c r="F74" s="186">
        <f>IF($C74="","",IF(AND($C74&gt;=1,$C74&lt;25),INDEX(ПодгПар!$F$6:$F$29,$C74,1),""))</f>
      </c>
      <c r="G74" s="196"/>
      <c r="H74" s="773"/>
      <c r="I74" s="790"/>
      <c r="J74" s="213"/>
      <c r="K74" s="215"/>
      <c r="L74" s="215"/>
      <c r="M74" s="226"/>
      <c r="N74" s="202"/>
      <c r="O74" s="202"/>
      <c r="P74" s="227"/>
      <c r="Q74" s="202"/>
      <c r="R74" s="230"/>
      <c r="S74" s="62"/>
    </row>
    <row r="75" spans="1:19" s="9" customFormat="1" ht="9" customHeight="1" thickBot="1">
      <c r="A75" s="748"/>
      <c r="B75" s="770"/>
      <c r="C75" s="789"/>
      <c r="D75" s="187">
        <f>IF($C74="","",IF(AND($C74&gt;=1,$C74&lt;25),INDEX(ПодгПар!$AL$6:$AL$29,$C74,1),"Х"))</f>
      </c>
      <c r="E75" s="188">
        <f>IF($C74="","",IF(AND($C74&gt;=1,$C74&lt;25),INDEX(ПодгПар!$AJ$6:$AJ$29,$C74,1),""))</f>
      </c>
      <c r="F75" s="189">
        <f>IF($C74="","",IF(AND($C74&gt;=1,$C74&lt;25),INDEX(ПодгПар!$K$6:$K$29,$C74,1),""))</f>
      </c>
      <c r="G75" s="197"/>
      <c r="H75" s="198"/>
      <c r="I75" s="199"/>
      <c r="J75" s="774" t="str">
        <f>IF(J77=0,CONCATENATE("поб.",G72,",",G73),IF(J77=1,G72,IF(J77=2,G78,"Х")))</f>
        <v>поб.поб.,,,</v>
      </c>
      <c r="K75" s="775"/>
      <c r="L75" s="775"/>
      <c r="M75" s="226"/>
      <c r="N75" s="202"/>
      <c r="O75" s="202"/>
      <c r="P75" s="227"/>
      <c r="Q75" s="202"/>
      <c r="R75" s="230"/>
      <c r="S75" s="62"/>
    </row>
    <row r="76" spans="1:19" s="9" customFormat="1" ht="9" customHeight="1">
      <c r="A76" s="776"/>
      <c r="B76" s="778"/>
      <c r="C76" s="780"/>
      <c r="D76" s="782"/>
      <c r="E76" s="190"/>
      <c r="F76" s="782"/>
      <c r="G76" s="200"/>
      <c r="H76" s="198"/>
      <c r="I76" s="199"/>
      <c r="J76" s="784" t="str">
        <f>IF(J77=0,CONCATENATE(G78,",",G79),IF(J77=1,G73,IF(J77=2,G79,"Х")))</f>
        <v>,</v>
      </c>
      <c r="K76" s="785"/>
      <c r="L76" s="786"/>
      <c r="M76" s="226"/>
      <c r="N76" s="202"/>
      <c r="O76" s="202"/>
      <c r="P76" s="227"/>
      <c r="Q76" s="202"/>
      <c r="R76" s="230"/>
      <c r="S76" s="62"/>
    </row>
    <row r="77" spans="1:19" s="9" customFormat="1" ht="9" customHeight="1" thickBot="1">
      <c r="A77" s="777"/>
      <c r="B77" s="779"/>
      <c r="C77" s="841"/>
      <c r="D77" s="783"/>
      <c r="E77" s="191"/>
      <c r="F77" s="783"/>
      <c r="G77" s="200"/>
      <c r="H77" s="198"/>
      <c r="I77" s="199"/>
      <c r="J77" s="214"/>
      <c r="K77" s="787"/>
      <c r="L77" s="787"/>
      <c r="M77" s="225"/>
      <c r="N77" s="202"/>
      <c r="O77" s="202"/>
      <c r="P77" s="227"/>
      <c r="Q77" s="228"/>
      <c r="R77" s="231"/>
      <c r="S77" s="62"/>
    </row>
    <row r="78" spans="1:19" s="9" customFormat="1" ht="9" customHeight="1">
      <c r="A78" s="758">
        <f>IF($C78="","",IF($C78="Х","",INDEX(ПодгПар!$P$6:$P$29,$C78)))</f>
      </c>
      <c r="B78" s="759">
        <v>23</v>
      </c>
      <c r="C78" s="842" t="s">
        <v>172</v>
      </c>
      <c r="D78" s="394" t="str">
        <f>IF($C78="","",IF(AND($C78&gt;=1,$C78&lt;25),INDEX(ПодгПар!$AB$6:$AB$29,$C78,1),"Х"))</f>
        <v>Х</v>
      </c>
      <c r="E78" s="395">
        <f>IF($C78="","",IF(AND($C78&gt;=1,$C78&lt;25),INDEX(ПодгПар!$W$6:$W$29,$C78,1),""))</f>
      </c>
      <c r="F78" s="396">
        <f>IF($C78="","",IF(AND($C78&gt;=1,$C78&lt;25),INDEX(ПодгПар!$F$6:$F$29,$C78,1),""))</f>
      </c>
      <c r="G78" s="763">
        <f>IF(G80=0,CONCATENATE("поб.",D78,",",D79),IF(G80=1,D78,IF(G80=2,D80,"Х")))</f>
      </c>
      <c r="H78" s="764"/>
      <c r="I78" s="765"/>
      <c r="J78" s="211"/>
      <c r="K78" s="212"/>
      <c r="L78" s="212"/>
      <c r="M78" s="224"/>
      <c r="N78" s="202"/>
      <c r="O78" s="202"/>
      <c r="P78" s="227"/>
      <c r="Q78" s="228"/>
      <c r="R78" s="231"/>
      <c r="S78" s="62"/>
    </row>
    <row r="79" spans="1:19" s="9" customFormat="1" ht="9" customHeight="1">
      <c r="A79" s="730"/>
      <c r="B79" s="760"/>
      <c r="C79" s="843"/>
      <c r="D79" s="397" t="str">
        <f>IF($C78="","",IF(AND($C78&gt;=1,$C78&lt;25),INDEX(ПодгПар!$AL$6:$AL$29,$C78,1),"Х"))</f>
        <v>Х</v>
      </c>
      <c r="E79" s="398">
        <f>IF($C78="","",IF(AND($C78&gt;=1,$C78&lt;25),INDEX(ПодгПар!$AJ$6:$AJ$29,$C78,1),""))</f>
      </c>
      <c r="F79" s="399">
        <f>IF($C78="","",IF(AND($C78&gt;=1,$C78&lt;25),INDEX(ПодгПар!$K$6:$K$29,$C78,1),""))</f>
      </c>
      <c r="G79" s="766">
        <f>IF(G80=0,CONCATENATE(D80,",",D81),IF(G80=1,D79,IF(G80=2,D81,"Х")))</f>
      </c>
      <c r="H79" s="767"/>
      <c r="I79" s="768"/>
      <c r="J79" s="211"/>
      <c r="K79" s="212"/>
      <c r="L79" s="212"/>
      <c r="M79" s="224"/>
      <c r="N79" s="202"/>
      <c r="O79" s="202"/>
      <c r="P79" s="227"/>
      <c r="Q79" s="202"/>
      <c r="R79" s="230"/>
      <c r="S79" s="62"/>
    </row>
    <row r="80" spans="1:19" s="9" customFormat="1" ht="9" customHeight="1">
      <c r="A80" s="729" t="str">
        <f>IF($C80="","3 или 4",IF(AND($C80&gt;=1,$C80&lt;33),INDEX(ПодгПар!$P$6:$P$29,$C80),""))</f>
        <v>3 или 4</v>
      </c>
      <c r="B80" s="769">
        <v>24</v>
      </c>
      <c r="C80" s="771"/>
      <c r="D80" s="184">
        <f>IF($C80="","",IF(AND($C80&gt;=1,$C80&lt;25),INDEX(ПодгПар!$AB$6:$AB$29,$C80,1),"Х"))</f>
      </c>
      <c r="E80" s="185">
        <f>IF($C80="","",IF(AND($C80&gt;=1,$C80&lt;25),INDEX(ПодгПар!$W$6:$W$29,$C80,1),""))</f>
      </c>
      <c r="F80" s="186">
        <f>IF($C80="","",IF(AND($C80&gt;=1,$C80&lt;25),INDEX(ПодгПар!$F$6:$F$29,$C80,1),""))</f>
      </c>
      <c r="G80" s="400">
        <v>2</v>
      </c>
      <c r="H80" s="846"/>
      <c r="I80" s="846"/>
      <c r="J80" s="213"/>
      <c r="K80" s="212"/>
      <c r="L80" s="212"/>
      <c r="M80" s="224"/>
      <c r="N80" s="202"/>
      <c r="O80" s="202"/>
      <c r="P80" s="227"/>
      <c r="Q80" s="202"/>
      <c r="R80" s="230"/>
      <c r="S80" s="62"/>
    </row>
    <row r="81" spans="1:19" s="9" customFormat="1" ht="9" customHeight="1" thickBot="1">
      <c r="A81" s="748"/>
      <c r="B81" s="770"/>
      <c r="C81" s="772"/>
      <c r="D81" s="187">
        <f>IF($C80="","",IF(AND($C80&gt;=1,$C80&lt;25),INDEX(ПодгПар!$AL$6:$AL$29,$C80,1),"Х"))</f>
      </c>
      <c r="E81" s="188">
        <f>IF($C80="","",IF(AND($C80&gt;=1,$C80&lt;25),INDEX(ПодгПар!$AJ$6:$AJ$29,$C80,1),""))</f>
      </c>
      <c r="F81" s="189">
        <f>IF($C80="","",IF(AND($C80&gt;=1,$C80&lt;25),INDEX(ПодгПар!$K$6:$K$29,$C80,1),""))</f>
      </c>
      <c r="G81" s="201"/>
      <c r="H81" s="198"/>
      <c r="I81" s="198"/>
      <c r="J81" s="211"/>
      <c r="K81" s="215"/>
      <c r="L81" s="215"/>
      <c r="M81" s="225"/>
      <c r="N81" s="202"/>
      <c r="O81" s="202"/>
      <c r="P81" s="791" t="str">
        <f>IF(P83=0,CONCATENATE("поб.",M69,",",M70),IF(P83=1,M69,IF(P83=2,M93,"Х")))</f>
        <v>поб.поб.поб.,,поб.,,,,поб.поб.,,,,,</v>
      </c>
      <c r="Q81" s="792"/>
      <c r="R81" s="829"/>
      <c r="S81" s="62"/>
    </row>
    <row r="82" spans="1:19" s="9" customFormat="1" ht="9" customHeight="1">
      <c r="A82" s="776"/>
      <c r="B82" s="778"/>
      <c r="C82" s="780"/>
      <c r="D82" s="782"/>
      <c r="E82" s="190"/>
      <c r="F82" s="782"/>
      <c r="G82" s="200"/>
      <c r="H82" s="198"/>
      <c r="I82" s="198"/>
      <c r="J82" s="211"/>
      <c r="K82" s="215"/>
      <c r="L82" s="215"/>
      <c r="M82" s="225"/>
      <c r="N82" s="202"/>
      <c r="O82" s="202"/>
      <c r="P82" s="799" t="str">
        <f>IF(P83=0,CONCATENATE(M93,",",M94),IF(P83=1,M70,IF(P83=2,M94,"Х")))</f>
        <v>поб.поб.,,поб.,,,,поб.поб.,,,,ПАНЬКОВА,ТАРАНОВА</v>
      </c>
      <c r="Q82" s="800"/>
      <c r="R82" s="830"/>
      <c r="S82" s="62"/>
    </row>
    <row r="83" spans="1:19" s="9" customFormat="1" ht="9" customHeight="1" thickBot="1">
      <c r="A83" s="777"/>
      <c r="B83" s="779"/>
      <c r="C83" s="841"/>
      <c r="D83" s="783"/>
      <c r="E83" s="191"/>
      <c r="F83" s="783"/>
      <c r="G83" s="200"/>
      <c r="H83" s="198"/>
      <c r="I83" s="198"/>
      <c r="J83" s="213"/>
      <c r="K83" s="212"/>
      <c r="L83" s="212"/>
      <c r="M83" s="224"/>
      <c r="N83" s="202"/>
      <c r="O83" s="202"/>
      <c r="P83" s="205"/>
      <c r="Q83" s="773"/>
      <c r="R83" s="773"/>
      <c r="S83" s="62"/>
    </row>
    <row r="84" spans="1:19" s="9" customFormat="1" ht="9" customHeight="1">
      <c r="A84" s="758" t="str">
        <f>IF($C84="","5,6,7 или 8",IF(AND($C84&gt;=1,$C84&lt;33),INDEX(ПодгПар!$P$6:$P$29,$C84),""))</f>
        <v>5,6,7 или 8</v>
      </c>
      <c r="B84" s="759">
        <v>25</v>
      </c>
      <c r="C84" s="796"/>
      <c r="D84" s="178">
        <f>IF($C84="","",IF(AND($C84&gt;=1,$C84&lt;25),INDEX(ПодгПар!$AB$6:$AB$29,$C84,1),"Х"))</f>
      </c>
      <c r="E84" s="179">
        <f>IF($C84="","",IF(AND($C84&gt;=1,$C84&lt;25),INDEX(ПодгПар!$W$6:$W$29,$C84,1),""))</f>
      </c>
      <c r="F84" s="180">
        <f>IF($C84="","",IF(AND($C84&gt;=1,$C84&lt;25),INDEX(ПодгПар!$F$6:$F$29,$C84,1),""))</f>
      </c>
      <c r="G84" s="763">
        <f>IF(G86=0,CONCATENATE("поб.",D84,",",D85),IF(G86=1,D84,IF(G86=2,D86,"Х")))</f>
      </c>
      <c r="H84" s="764"/>
      <c r="I84" s="764"/>
      <c r="J84" s="216"/>
      <c r="K84" s="212"/>
      <c r="L84" s="212"/>
      <c r="M84" s="224"/>
      <c r="N84" s="202"/>
      <c r="O84" s="202"/>
      <c r="P84" s="227"/>
      <c r="Q84" s="202"/>
      <c r="R84" s="202"/>
      <c r="S84" s="62"/>
    </row>
    <row r="85" spans="1:19" s="9" customFormat="1" ht="9" customHeight="1">
      <c r="A85" s="730"/>
      <c r="B85" s="760"/>
      <c r="C85" s="797"/>
      <c r="D85" s="181">
        <f>IF($C84="","",IF(AND($C84&gt;=1,$C84&lt;25),INDEX(ПодгПар!$AL$6:$AL$29,$C84,1),"Х"))</f>
      </c>
      <c r="E85" s="182">
        <f>IF($C84="","",IF(AND($C84&gt;=1,$C84&lt;25),INDEX(ПодгПар!$AJ$6:$AJ$29,$C84,1),""))</f>
      </c>
      <c r="F85" s="183">
        <f>IF($C84="","",IF(AND($C84&gt;=1,$C84&lt;25),INDEX(ПодгПар!$K$6:$K$29,$C84,1),""))</f>
      </c>
      <c r="G85" s="766">
        <f>IF(G86=0,CONCATENATE(D86,",",D87),IF(G86=1,D85,IF(G86=2,D87,"Х")))</f>
      </c>
      <c r="H85" s="767"/>
      <c r="I85" s="767"/>
      <c r="J85" s="211"/>
      <c r="K85" s="212"/>
      <c r="L85" s="212"/>
      <c r="M85" s="224"/>
      <c r="N85" s="228"/>
      <c r="O85" s="228"/>
      <c r="P85" s="226"/>
      <c r="Q85" s="202"/>
      <c r="R85" s="202"/>
      <c r="S85" s="62"/>
    </row>
    <row r="86" spans="1:19" s="9" customFormat="1" ht="9" customHeight="1">
      <c r="A86" s="729">
        <f>IF($C86="","",IF($C86="Х","",INDEX(ПодгПар!$P$6:$P$29,$C86)))</f>
      </c>
      <c r="B86" s="769">
        <v>26</v>
      </c>
      <c r="C86" s="844" t="s">
        <v>172</v>
      </c>
      <c r="D86" s="388" t="str">
        <f>IF($C86="","",IF(AND($C86&gt;=1,$C86&lt;25),INDEX(ПодгПар!$AB$6:$AB$29,$C86,1),"Х"))</f>
        <v>Х</v>
      </c>
      <c r="E86" s="389">
        <f>IF($C86="","",IF(AND($C86&gt;=1,$C86&lt;25),INDEX(ПодгПар!$W$6:$W$29,$C86,1),""))</f>
      </c>
      <c r="F86" s="390">
        <f>IF($C86="","",IF(AND($C86&gt;=1,$C86&lt;25),INDEX(ПодгПар!$F$6:$F$29,$C86,1),""))</f>
      </c>
      <c r="G86" s="400">
        <v>1</v>
      </c>
      <c r="H86" s="846"/>
      <c r="I86" s="847"/>
      <c r="J86" s="213"/>
      <c r="K86" s="212"/>
      <c r="L86" s="212"/>
      <c r="M86" s="224"/>
      <c r="N86" s="228"/>
      <c r="O86" s="228"/>
      <c r="P86" s="226"/>
      <c r="Q86" s="202"/>
      <c r="R86" s="202"/>
      <c r="S86" s="62"/>
    </row>
    <row r="87" spans="1:19" s="9" customFormat="1" ht="9" customHeight="1" thickBot="1">
      <c r="A87" s="748"/>
      <c r="B87" s="770"/>
      <c r="C87" s="845"/>
      <c r="D87" s="391" t="str">
        <f>IF($C86="","",IF(AND($C86&gt;=1,$C86&lt;25),INDEX(ПодгПар!$AL$6:$AL$29,$C86,1),"Х"))</f>
        <v>Х</v>
      </c>
      <c r="E87" s="392">
        <f>IF($C86="","",IF(AND($C86&gt;=1,$C86&lt;25),INDEX(ПодгПар!$AJ$6:$AJ$29,$C86,1),""))</f>
      </c>
      <c r="F87" s="393">
        <f>IF($C86="","",IF(AND($C86&gt;=1,$C86&lt;25),INDEX(ПодгПар!$K$6:$K$29,$C86,1),""))</f>
      </c>
      <c r="G87" s="197"/>
      <c r="H87" s="198"/>
      <c r="I87" s="199"/>
      <c r="J87" s="774" t="str">
        <f>IF(J89=0,CONCATENATE("поб.",G84,",",G85),IF(J89=1,G84,IF(J89=2,G90,"Х")))</f>
        <v>поб.,</v>
      </c>
      <c r="K87" s="775"/>
      <c r="L87" s="775"/>
      <c r="M87" s="225"/>
      <c r="N87" s="202"/>
      <c r="O87" s="202"/>
      <c r="P87" s="227"/>
      <c r="Q87" s="202"/>
      <c r="R87" s="202"/>
      <c r="S87" s="62"/>
    </row>
    <row r="88" spans="1:19" s="9" customFormat="1" ht="9" customHeight="1">
      <c r="A88" s="776"/>
      <c r="B88" s="778"/>
      <c r="C88" s="780"/>
      <c r="D88" s="782"/>
      <c r="E88" s="190"/>
      <c r="F88" s="782"/>
      <c r="G88" s="200"/>
      <c r="H88" s="198"/>
      <c r="I88" s="199"/>
      <c r="J88" s="784" t="str">
        <f>IF(J89=0,CONCATENATE(G90,",",G91),IF(J89=1,G85,IF(J89=2,G91,"Х")))</f>
        <v>поб.,,,</v>
      </c>
      <c r="K88" s="785"/>
      <c r="L88" s="785"/>
      <c r="M88" s="225"/>
      <c r="N88" s="202"/>
      <c r="O88" s="202"/>
      <c r="P88" s="227"/>
      <c r="Q88" s="202"/>
      <c r="R88" s="202"/>
      <c r="S88" s="62"/>
    </row>
    <row r="89" spans="1:19" s="9" customFormat="1" ht="9" customHeight="1" thickBot="1">
      <c r="A89" s="777"/>
      <c r="B89" s="779"/>
      <c r="C89" s="841"/>
      <c r="D89" s="783"/>
      <c r="E89" s="191"/>
      <c r="F89" s="783"/>
      <c r="G89" s="200"/>
      <c r="H89" s="198"/>
      <c r="I89" s="199"/>
      <c r="J89" s="214"/>
      <c r="K89" s="795"/>
      <c r="L89" s="795"/>
      <c r="M89" s="226"/>
      <c r="N89" s="202"/>
      <c r="O89" s="202"/>
      <c r="P89" s="227"/>
      <c r="Q89" s="202"/>
      <c r="R89" s="202"/>
      <c r="S89" s="62"/>
    </row>
    <row r="90" spans="1:19" s="9" customFormat="1" ht="9" customHeight="1">
      <c r="A90" s="758">
        <f>IF($C90="","",IF(AND($C90&gt;=1,$C90&lt;33),INDEX(ПодгПар!$P$6:$P$29,$C90),""))</f>
      </c>
      <c r="B90" s="759">
        <v>27</v>
      </c>
      <c r="C90" s="761"/>
      <c r="D90" s="178">
        <f>IF($C90="","",IF(AND($C90&gt;=1,$C90&lt;25),INDEX(ПодгПар!$AB$6:$AB$29,$C90,1),"Х"))</f>
      </c>
      <c r="E90" s="179">
        <f>IF($C90="","",IF(AND($C90&gt;=1,$C90&lt;25),INDEX(ПодгПар!$W$6:$W$29,$C90,1),""))</f>
      </c>
      <c r="F90" s="180">
        <f>IF($C90="","",IF(AND($C90&gt;=1,$C90&lt;25),INDEX(ПодгПар!$F$6:$F$29,$C90,1),""))</f>
      </c>
      <c r="G90" s="763" t="str">
        <f>IF(G92=0,CONCATENATE("поб.",D90,",",D91),IF(G92=1,D90,IF(G92=2,D92,"Х")))</f>
        <v>поб.,</v>
      </c>
      <c r="H90" s="764"/>
      <c r="I90" s="765"/>
      <c r="J90" s="211"/>
      <c r="K90" s="215"/>
      <c r="L90" s="215"/>
      <c r="M90" s="226"/>
      <c r="N90" s="202"/>
      <c r="O90" s="202"/>
      <c r="P90" s="227"/>
      <c r="Q90" s="202"/>
      <c r="R90" s="202"/>
      <c r="S90" s="62"/>
    </row>
    <row r="91" spans="1:19" s="9" customFormat="1" ht="9" customHeight="1">
      <c r="A91" s="730"/>
      <c r="B91" s="760"/>
      <c r="C91" s="762"/>
      <c r="D91" s="181">
        <f>IF($C90="","",IF(AND($C90&gt;=1,$C90&lt;25),INDEX(ПодгПар!$AL$6:$AL$29,$C90,1),"Х"))</f>
      </c>
      <c r="E91" s="182">
        <f>IF($C90="","",IF(AND($C90&gt;=1,$C90&lt;25),INDEX(ПодгПар!$AJ$6:$AJ$29,$C90,1),""))</f>
      </c>
      <c r="F91" s="183">
        <f>IF($C90="","",IF(AND($C90&gt;=1,$C90&lt;25),INDEX(ПодгПар!$K$6:$K$29,$C90,1),""))</f>
      </c>
      <c r="G91" s="766" t="str">
        <f>IF(G92=0,CONCATENATE(D92,",",D93),IF(G92=1,D91,IF(G92=2,D93,"Х")))</f>
        <v>,</v>
      </c>
      <c r="H91" s="767"/>
      <c r="I91" s="768"/>
      <c r="J91" s="211"/>
      <c r="K91" s="212"/>
      <c r="L91" s="212"/>
      <c r="M91" s="227"/>
      <c r="N91" s="202"/>
      <c r="O91" s="202"/>
      <c r="P91" s="227"/>
      <c r="Q91" s="202"/>
      <c r="R91" s="202"/>
      <c r="S91" s="72"/>
    </row>
    <row r="92" spans="1:19" s="9" customFormat="1" ht="9" customHeight="1">
      <c r="A92" s="729">
        <f>IF($C92="","",IF(AND($C92&gt;=1,$C92&lt;33),INDEX(ПодгПар!$P$6:$P$29,$C92),""))</f>
      </c>
      <c r="B92" s="769">
        <v>28</v>
      </c>
      <c r="C92" s="788"/>
      <c r="D92" s="184">
        <f>IF($C92="","",IF(AND($C92&gt;=1,$C92&lt;25),INDEX(ПодгПар!$AB$6:$AB$29,$C92,1),"Х"))</f>
      </c>
      <c r="E92" s="185">
        <f>IF($C92="","",IF(AND($C92&gt;=1,$C92&lt;25),INDEX(ПодгПар!$W$6:$W$29,$C92,1),""))</f>
      </c>
      <c r="F92" s="186">
        <f>IF($C92="","",IF(AND($C92&gt;=1,$C92&lt;25),INDEX(ПодгПар!$F$6:$F$29,$C92,1),""))</f>
      </c>
      <c r="G92" s="196"/>
      <c r="H92" s="773"/>
      <c r="I92" s="773"/>
      <c r="J92" s="213"/>
      <c r="K92" s="212"/>
      <c r="L92" s="212"/>
      <c r="M92" s="227"/>
      <c r="N92" s="202"/>
      <c r="O92" s="202"/>
      <c r="P92" s="227"/>
      <c r="Q92" s="202"/>
      <c r="R92" s="202"/>
      <c r="S92" s="73"/>
    </row>
    <row r="93" spans="1:19" s="9" customFormat="1" ht="9" customHeight="1" thickBot="1">
      <c r="A93" s="748"/>
      <c r="B93" s="770"/>
      <c r="C93" s="789"/>
      <c r="D93" s="187">
        <f>IF($C92="","",IF(AND($C92&gt;=1,$C92&lt;25),INDEX(ПодгПар!$AL$6:$AL$29,$C92,1),"Х"))</f>
      </c>
      <c r="E93" s="188">
        <f>IF($C92="","",IF(AND($C92&gt;=1,$C92&lt;25),INDEX(ПодгПар!$AJ$6:$AJ$29,$C92,1),""))</f>
      </c>
      <c r="F93" s="189">
        <f>IF($C92="","",IF(AND($C92&gt;=1,$C92&lt;25),INDEX(ПодгПар!$K$6:$K$29,$C92,1),""))</f>
      </c>
      <c r="G93" s="201"/>
      <c r="H93" s="198"/>
      <c r="I93" s="198"/>
      <c r="J93" s="211"/>
      <c r="K93" s="212"/>
      <c r="L93" s="212"/>
      <c r="M93" s="791" t="str">
        <f>IF(M95=0,CONCATENATE("поб.",J87,",",J88),IF(M95=1,J87,IF(M95=2,J99,"Х")))</f>
        <v>поб.поб.,,поб.,,,</v>
      </c>
      <c r="N93" s="792"/>
      <c r="O93" s="792"/>
      <c r="P93" s="227"/>
      <c r="Q93" s="202"/>
      <c r="R93" s="202"/>
      <c r="S93" s="73"/>
    </row>
    <row r="94" spans="1:19" s="9" customFormat="1" ht="9" customHeight="1">
      <c r="A94" s="776"/>
      <c r="B94" s="778"/>
      <c r="C94" s="780"/>
      <c r="D94" s="782"/>
      <c r="E94" s="190"/>
      <c r="F94" s="782"/>
      <c r="G94" s="200"/>
      <c r="H94" s="198"/>
      <c r="I94" s="198"/>
      <c r="J94" s="211"/>
      <c r="K94" s="212"/>
      <c r="L94" s="212"/>
      <c r="M94" s="793" t="str">
        <f>IF(M95=0,CONCATENATE(J99,",",J100),IF(M95=1,J88,IF(M95=2,J100,"Х")))</f>
        <v>поб.поб.,,,,ПАНЬКОВА,ТАРАНОВА</v>
      </c>
      <c r="N94" s="794"/>
      <c r="O94" s="794"/>
      <c r="P94" s="227"/>
      <c r="Q94" s="228"/>
      <c r="R94" s="228"/>
      <c r="S94" s="73"/>
    </row>
    <row r="95" spans="1:19" s="9" customFormat="1" ht="9" customHeight="1" thickBot="1">
      <c r="A95" s="777"/>
      <c r="B95" s="779"/>
      <c r="C95" s="841"/>
      <c r="D95" s="783"/>
      <c r="E95" s="191"/>
      <c r="F95" s="783"/>
      <c r="G95" s="200"/>
      <c r="H95" s="198"/>
      <c r="I95" s="198"/>
      <c r="J95" s="213"/>
      <c r="K95" s="212"/>
      <c r="L95" s="212"/>
      <c r="M95" s="205"/>
      <c r="N95" s="773"/>
      <c r="O95" s="773"/>
      <c r="P95" s="225"/>
      <c r="Q95" s="228"/>
      <c r="R95" s="228"/>
      <c r="S95" s="72"/>
    </row>
    <row r="96" spans="1:19" s="9" customFormat="1" ht="9" customHeight="1">
      <c r="A96" s="758">
        <f>IF($C96="","",IF(AND($C96&gt;=1,$C96&lt;33),INDEX(ПодгПар!$P$6:$P$29,$C96),""))</f>
      </c>
      <c r="B96" s="759">
        <v>29</v>
      </c>
      <c r="C96" s="761"/>
      <c r="D96" s="178">
        <f>IF($C96="","",IF(AND($C96&gt;=1,$C96&lt;25),INDEX(ПодгПар!$AB$6:$AB$29,$C96,1),"Х"))</f>
      </c>
      <c r="E96" s="179">
        <f>IF($C96="","",IF(AND($C96&gt;=1,$C96&lt;25),INDEX(ПодгПар!$W$6:$W$29,$C96,1),""))</f>
      </c>
      <c r="F96" s="180">
        <f>IF($C96="","",IF(AND($C96&gt;=1,$C96&lt;25),INDEX(ПодгПар!$F$6:$F$29,$C96,1),""))</f>
      </c>
      <c r="G96" s="763" t="str">
        <f>IF(G98=0,CONCATENATE("поб.",D96,",",D97),IF(G98=1,D96,IF(G98=2,D98,"Х")))</f>
        <v>поб.,</v>
      </c>
      <c r="H96" s="764"/>
      <c r="I96" s="764"/>
      <c r="J96" s="216"/>
      <c r="K96" s="212"/>
      <c r="L96" s="212"/>
      <c r="M96" s="227"/>
      <c r="N96" s="202"/>
      <c r="O96" s="202"/>
      <c r="P96" s="224"/>
      <c r="Q96" s="202"/>
      <c r="R96" s="202"/>
      <c r="S96" s="62"/>
    </row>
    <row r="97" spans="1:19" s="9" customFormat="1" ht="9" customHeight="1">
      <c r="A97" s="730"/>
      <c r="B97" s="760"/>
      <c r="C97" s="762"/>
      <c r="D97" s="181">
        <f>IF($C96="","",IF(AND($C96&gt;=1,$C96&lt;25),INDEX(ПодгПар!$AL$6:$AL$29,$C96,1),"Х"))</f>
      </c>
      <c r="E97" s="182">
        <f>IF($C96="","",IF(AND($C96&gt;=1,$C96&lt;25),INDEX(ПодгПар!$AJ$6:$AJ$29,$C96,1),""))</f>
      </c>
      <c r="F97" s="183">
        <f>IF($C96="","",IF(AND($C96&gt;=1,$C96&lt;25),INDEX(ПодгПар!$K$6:$K$29,$C96,1),""))</f>
      </c>
      <c r="G97" s="766" t="str">
        <f>IF(G98=0,CONCATENATE(D98,",",D99),IF(G98=1,D97,IF(G98=2,D99,"Х")))</f>
        <v>,</v>
      </c>
      <c r="H97" s="767"/>
      <c r="I97" s="767"/>
      <c r="J97" s="211"/>
      <c r="K97" s="215"/>
      <c r="L97" s="215"/>
      <c r="M97" s="226"/>
      <c r="N97" s="202"/>
      <c r="O97" s="202"/>
      <c r="P97" s="60"/>
      <c r="Q97" s="61"/>
      <c r="R97" s="61"/>
      <c r="S97" s="62"/>
    </row>
    <row r="98" spans="1:19" s="9" customFormat="1" ht="9" customHeight="1">
      <c r="A98" s="729">
        <f>IF($C98="","",IF(AND($C98&gt;=1,$C98&lt;33),INDEX(ПодгПар!$P$6:$P$29,$C98),""))</f>
      </c>
      <c r="B98" s="769">
        <v>30</v>
      </c>
      <c r="C98" s="788"/>
      <c r="D98" s="184">
        <f>IF($C98="","",IF(AND($C98&gt;=1,$C98&lt;25),INDEX(ПодгПар!$AB$6:$AB$29,$C98,1),"Х"))</f>
      </c>
      <c r="E98" s="185">
        <f>IF($C98="","",IF(AND($C98&gt;=1,$C98&lt;25),INDEX(ПодгПар!$W$6:$W$29,$C98,1),""))</f>
      </c>
      <c r="F98" s="186">
        <f>IF($C98="","",IF(AND($C98&gt;=1,$C98&lt;25),INDEX(ПодгПар!$F$6:$F$29,$C98,1),""))</f>
      </c>
      <c r="G98" s="196"/>
      <c r="H98" s="773"/>
      <c r="I98" s="790"/>
      <c r="J98" s="213"/>
      <c r="K98" s="215"/>
      <c r="L98" s="215"/>
      <c r="M98" s="226"/>
      <c r="N98" s="202"/>
      <c r="O98" s="202"/>
      <c r="P98" s="60"/>
      <c r="Q98" s="61"/>
      <c r="R98" s="61"/>
      <c r="S98" s="62"/>
    </row>
    <row r="99" spans="1:19" s="9" customFormat="1" ht="9" customHeight="1" thickBot="1">
      <c r="A99" s="748"/>
      <c r="B99" s="770"/>
      <c r="C99" s="789"/>
      <c r="D99" s="187">
        <f>IF($C98="","",IF(AND($C98&gt;=1,$C98&lt;25),INDEX(ПодгПар!$AL$6:$AL$29,$C98,1),"Х"))</f>
      </c>
      <c r="E99" s="188">
        <f>IF($C98="","",IF(AND($C98&gt;=1,$C98&lt;25),INDEX(ПодгПар!$AJ$6:$AJ$29,$C98,1),""))</f>
      </c>
      <c r="F99" s="189">
        <f>IF($C98="","",IF(AND($C98&gt;=1,$C98&lt;25),INDEX(ПодгПар!$K$6:$K$29,$C98,1),""))</f>
      </c>
      <c r="G99" s="197"/>
      <c r="H99" s="198"/>
      <c r="I99" s="199"/>
      <c r="J99" s="774" t="str">
        <f>IF(J101=0,CONCATENATE("поб.",G96,",",G97),IF(J101=1,G96,IF(J101=2,G102,"Х")))</f>
        <v>поб.поб.,,,</v>
      </c>
      <c r="K99" s="775"/>
      <c r="L99" s="775"/>
      <c r="M99" s="226"/>
      <c r="N99" s="202"/>
      <c r="O99" s="202"/>
      <c r="P99" s="60"/>
      <c r="Q99" s="61"/>
      <c r="R99" s="61"/>
      <c r="S99" s="62"/>
    </row>
    <row r="100" spans="1:19" s="9" customFormat="1" ht="9" customHeight="1">
      <c r="A100" s="776"/>
      <c r="B100" s="778"/>
      <c r="C100" s="780"/>
      <c r="D100" s="782"/>
      <c r="E100" s="190"/>
      <c r="F100" s="782"/>
      <c r="G100" s="200"/>
      <c r="H100" s="198"/>
      <c r="I100" s="199"/>
      <c r="J100" s="784" t="str">
        <f>IF(J101=0,CONCATENATE(G102,",",G103),IF(J101=1,G97,IF(J101=2,G103,"Х")))</f>
        <v>ПАНЬКОВА,ТАРАНОВА</v>
      </c>
      <c r="K100" s="785"/>
      <c r="L100" s="786"/>
      <c r="M100" s="226"/>
      <c r="N100" s="202"/>
      <c r="O100" s="202"/>
      <c r="P100" s="60"/>
      <c r="Q100" s="61"/>
      <c r="R100" s="61"/>
      <c r="S100" s="62"/>
    </row>
    <row r="101" spans="1:19" s="9" customFormat="1" ht="9" customHeight="1" thickBot="1">
      <c r="A101" s="777"/>
      <c r="B101" s="779"/>
      <c r="C101" s="841"/>
      <c r="D101" s="783"/>
      <c r="E101" s="191"/>
      <c r="F101" s="783"/>
      <c r="G101" s="200"/>
      <c r="H101" s="198"/>
      <c r="I101" s="199"/>
      <c r="J101" s="214"/>
      <c r="K101" s="787"/>
      <c r="L101" s="787"/>
      <c r="M101" s="225"/>
      <c r="N101" s="228"/>
      <c r="O101" s="228"/>
      <c r="P101" s="71"/>
      <c r="Q101" s="61"/>
      <c r="R101" s="61"/>
      <c r="S101" s="62"/>
    </row>
    <row r="102" spans="1:19" s="9" customFormat="1" ht="9" customHeight="1" thickBot="1">
      <c r="A102" s="758">
        <f>IF($C102="","",IF(AND($C102&gt;=1,$C102&lt;33),INDEX(ПодгПар!$P$6:$P$29,$C102),""))</f>
      </c>
      <c r="B102" s="759">
        <v>31</v>
      </c>
      <c r="C102" s="842" t="s">
        <v>172</v>
      </c>
      <c r="D102" s="394" t="str">
        <f>IF($C102="","",IF(AND($C102&gt;=1,$C102&lt;25),INDEX(ПодгПар!$AB$6:$AB$29,$C102,1),"Х"))</f>
        <v>Х</v>
      </c>
      <c r="E102" s="395">
        <f>IF($C102="","",IF(AND($C102&gt;=1,$C102&lt;25),INDEX(ПодгПар!$W$6:$W$29,$C102,1),""))</f>
      </c>
      <c r="F102" s="396">
        <f>IF($C102="","",IF(AND($C102&gt;=1,$C102&lt;25),INDEX(ПодгПар!$F$6:$F$29,$C102,1),""))</f>
      </c>
      <c r="G102" s="763" t="str">
        <f>IF(G104=0,CONCATENATE("поб.",D102,",",D103),IF(G104=1,D102,IF(G104=2,D104,"Х")))</f>
        <v>ПАНЬКОВА</v>
      </c>
      <c r="H102" s="764"/>
      <c r="I102" s="765"/>
      <c r="J102" s="211"/>
      <c r="K102" s="212"/>
      <c r="L102" s="212"/>
      <c r="M102" s="71"/>
      <c r="N102" s="61"/>
      <c r="O102" s="61"/>
      <c r="P102" s="60"/>
      <c r="Q102" s="61"/>
      <c r="R102" s="61"/>
      <c r="S102" s="62"/>
    </row>
    <row r="103" spans="1:18" s="9" customFormat="1" ht="9" customHeight="1">
      <c r="A103" s="730"/>
      <c r="B103" s="760"/>
      <c r="C103" s="843"/>
      <c r="D103" s="397" t="str">
        <f>IF($C102="","",IF(AND($C102&gt;=1,$C102&lt;25),INDEX(ПодгПар!$AL$6:$AL$29,$C102,1),"Х"))</f>
        <v>Х</v>
      </c>
      <c r="E103" s="398">
        <f>IF($C102="","",IF(AND($C102&gt;=1,$C102&lt;25),INDEX(ПодгПар!$AJ$6:$AJ$29,$C102,1),""))</f>
      </c>
      <c r="F103" s="399">
        <f>IF($C102="","",IF(AND($C102&gt;=1,$C102&lt;25),INDEX(ПодгПар!$K$6:$K$29,$C102,1),""))</f>
      </c>
      <c r="G103" s="766" t="str">
        <f>IF(G104=0,CONCATENATE(D104,",",D105),IF(G104=1,D103,IF(G104=2,D105,"Х")))</f>
        <v>ТАРАНОВА</v>
      </c>
      <c r="H103" s="767"/>
      <c r="I103" s="768"/>
      <c r="J103" s="211"/>
      <c r="K103" s="212"/>
      <c r="L103" s="218"/>
      <c r="N103" s="733" t="s">
        <v>13</v>
      </c>
      <c r="O103" s="736" t="s">
        <v>14</v>
      </c>
      <c r="P103" s="737"/>
      <c r="Q103" s="738"/>
      <c r="R103" s="745" t="s">
        <v>22</v>
      </c>
    </row>
    <row r="104" spans="1:18" s="9" customFormat="1" ht="9" customHeight="1">
      <c r="A104" s="729" t="str">
        <f>IF($C104="","2",IF(AND($C104&gt;=1,$C104&lt;33),INDEX(ПодгПар!$P$6:$P$29,$C104),""))</f>
        <v>2 </v>
      </c>
      <c r="B104" s="769">
        <v>32</v>
      </c>
      <c r="C104" s="771">
        <v>2</v>
      </c>
      <c r="D104" s="184" t="str">
        <f>IF($C104="","",IF(AND($C104&gt;=1,$C104&lt;25),INDEX(ПодгПар!$AB$6:$AB$29,$C104,1),"Х"))</f>
        <v>ПАНЬКОВА</v>
      </c>
      <c r="E104" s="185" t="str">
        <f>IF($C104="","",IF(AND($C104&gt;=1,$C104&lt;25),INDEX(ПодгПар!$W$6:$W$29,$C104,1),""))</f>
        <v>Я.О.</v>
      </c>
      <c r="F104" s="186" t="str">
        <f>IF($C104="","",IF(AND($C104&gt;=1,$C104&lt;25),INDEX(ПодгПар!$F$6:$F$29,$C104,1),""))</f>
        <v>Екатеринбург</v>
      </c>
      <c r="G104" s="400">
        <v>2</v>
      </c>
      <c r="H104" s="846"/>
      <c r="I104" s="846"/>
      <c r="J104" s="217"/>
      <c r="K104" s="212"/>
      <c r="L104" s="218"/>
      <c r="N104" s="734"/>
      <c r="O104" s="739"/>
      <c r="P104" s="740"/>
      <c r="Q104" s="741"/>
      <c r="R104" s="746"/>
    </row>
    <row r="105" spans="1:18" s="9" customFormat="1" ht="9" customHeight="1" thickBot="1">
      <c r="A105" s="748"/>
      <c r="B105" s="770"/>
      <c r="C105" s="772"/>
      <c r="D105" s="187" t="str">
        <f>IF($C104="","",IF(AND($C104&gt;=1,$C104&lt;25),INDEX(ПодгПар!$AL$6:$AL$29,$C104,1),"Х"))</f>
        <v>ТАРАНОВА</v>
      </c>
      <c r="E105" s="188" t="str">
        <f>IF($C104="","",IF(AND($C104&gt;=1,$C104&lt;25),INDEX(ПодгПар!$AJ$6:$AJ$29,$C104,1),""))</f>
        <v>В.А.</v>
      </c>
      <c r="F105" s="189" t="str">
        <f>IF($C104="","",IF(AND($C104&gt;=1,$C104&lt;25),INDEX(ПодгПар!$K$6:$K$29,$C104,1),""))</f>
        <v>Екатеринбург</v>
      </c>
      <c r="G105" s="201"/>
      <c r="H105" s="198"/>
      <c r="I105" s="198"/>
      <c r="J105" s="193"/>
      <c r="K105" s="215"/>
      <c r="L105" s="218"/>
      <c r="N105" s="735"/>
      <c r="O105" s="742"/>
      <c r="P105" s="743"/>
      <c r="Q105" s="744"/>
      <c r="R105" s="747"/>
    </row>
    <row r="106" spans="3:18" ht="9" customHeight="1">
      <c r="C106" s="346"/>
      <c r="D106" s="192"/>
      <c r="E106" s="193"/>
      <c r="F106" s="193"/>
      <c r="G106" s="202"/>
      <c r="H106" s="202"/>
      <c r="I106" s="202"/>
      <c r="J106" s="193"/>
      <c r="K106" s="219"/>
      <c r="L106" s="220"/>
      <c r="N106" s="729">
        <f>IF(O106="","",1)</f>
        <v>1</v>
      </c>
      <c r="O106" s="726" t="str">
        <f>IF(OR(ПодгПар!L6=0,ПодгПар!P6="ОЖ"),"",ПодгПар!AB6)</f>
        <v>МАТВЕЕВА</v>
      </c>
      <c r="P106" s="727"/>
      <c r="Q106" s="728"/>
      <c r="R106" s="749">
        <f>IF(OR(ПодгПар!L6=0,ПодгПар!P6="ОЖ"),"",ПодгПар!L6)</f>
        <v>112</v>
      </c>
    </row>
    <row r="107" spans="3:18" ht="9" customHeight="1">
      <c r="C107" s="615"/>
      <c r="D107" s="775" t="str">
        <f>IF(ПолуфиналНеявка(Q35),"Х",IF(P35=0,CONCATENATE("пр.",M21,",",M22),IF(P35=1,M45,IF(P35=2,M21,"Х"))))</f>
        <v>пр.поб.поб.МАТВЕЕВА,ХАБАРОВА,поб.,,,,поб.поб.,,,,,</v>
      </c>
      <c r="E107" s="775"/>
      <c r="F107" s="775"/>
      <c r="G107" s="203"/>
      <c r="H107" s="202"/>
      <c r="I107" s="202"/>
      <c r="J107" s="193"/>
      <c r="K107" s="219"/>
      <c r="L107" s="220"/>
      <c r="N107" s="730"/>
      <c r="O107" s="723" t="str">
        <f>IF(OR(ПодгПар!L6=0,ПодгПар!P6="ОЖ"),"",ПодгПар!AL6)</f>
        <v>ХАБАРОВА</v>
      </c>
      <c r="P107" s="724"/>
      <c r="Q107" s="725"/>
      <c r="R107" s="750"/>
    </row>
    <row r="108" spans="2:18" ht="9" customHeight="1">
      <c r="B108" s="79"/>
      <c r="C108" s="621"/>
      <c r="D108" s="731" t="str">
        <f>IF(ПолуфиналНеявка(Q35),"Х",IF(P35=0,CONCATENATE(M45,",",M46),IF(P35=1,M46,IF(P35=2,M22,"Х"))))</f>
        <v>поб.поб.,,поб.,,,,поб.поб.,,,,,</v>
      </c>
      <c r="E108" s="731"/>
      <c r="F108" s="731"/>
      <c r="G108" s="204"/>
      <c r="H108" s="826"/>
      <c r="I108" s="826"/>
      <c r="J108" s="221"/>
      <c r="K108" s="222"/>
      <c r="L108" s="220"/>
      <c r="N108" s="729">
        <f>IF(O108="","",2)</f>
        <v>2</v>
      </c>
      <c r="O108" s="726" t="str">
        <f>IF(OR(ПодгПар!L7=0,ПодгПар!P7="ОЖ"),"",ПодгПар!AB7)</f>
        <v>ПАНЬКОВА</v>
      </c>
      <c r="P108" s="727"/>
      <c r="Q108" s="728"/>
      <c r="R108" s="749">
        <f>IF(OR(ПодгПар!L7=0,ПодгПар!P7="ОЖ"),"",ПодгПар!L7)</f>
        <v>59</v>
      </c>
    </row>
    <row r="109" spans="2:18" ht="9" customHeight="1">
      <c r="B109" s="84"/>
      <c r="C109" s="617"/>
      <c r="D109" s="195"/>
      <c r="E109" s="195"/>
      <c r="F109" s="195"/>
      <c r="G109" s="833">
        <f>IF(G111=3,"Х",IF(G111=0,"",IF(G111=1,D107,D111)))</f>
      </c>
      <c r="H109" s="834"/>
      <c r="I109" s="834"/>
      <c r="J109" s="87"/>
      <c r="K109" s="88"/>
      <c r="N109" s="730"/>
      <c r="O109" s="723" t="str">
        <f>IF(OR(ПодгПар!L7=0,ПодгПар!P7="ОЖ"),"",ПодгПар!AL7)</f>
        <v>ТАРАНОВА</v>
      </c>
      <c r="P109" s="724"/>
      <c r="Q109" s="725"/>
      <c r="R109" s="750"/>
    </row>
    <row r="110" spans="3:18" ht="9" customHeight="1">
      <c r="C110" s="618"/>
      <c r="D110" s="194"/>
      <c r="E110" s="194"/>
      <c r="F110" s="194"/>
      <c r="G110" s="799">
        <f>IF(G111=3,"Х",IF(G111=0,"",IF(G111=1,D108,D112)))</f>
      </c>
      <c r="H110" s="800"/>
      <c r="I110" s="800"/>
      <c r="J110" s="87"/>
      <c r="K110" s="153" t="s">
        <v>15</v>
      </c>
      <c r="L110" s="84"/>
      <c r="N110" s="729">
        <f>IF(O110="","",3)</f>
      </c>
      <c r="O110" s="726">
        <f>IF(OR(ПодгПар!L8=0,ПодгПар!P8="ОЖ",ПодгПар!$A$50&lt;4),"",ПодгПар!AB8)</f>
      </c>
      <c r="P110" s="727"/>
      <c r="Q110" s="728"/>
      <c r="R110" s="749">
        <f>IF(OR(ПодгПар!L8=0,ПодгПар!P8="ОЖ",ПодгПар!$A$50&lt;4),"",ПодгПар!L8)</f>
      </c>
    </row>
    <row r="111" spans="3:18" ht="9" customHeight="1">
      <c r="C111" s="615"/>
      <c r="D111" s="775" t="str">
        <f>IF(ПолуфиналНеявка(Q83),"Х",IF(P83=0,CONCATENATE("пр.",M69,",",M70),IF(P83=1,M93,IF(P83=2,M69,"Х"))))</f>
        <v>пр.поб.поб.,,поб.,,,,поб.поб.,,,,,</v>
      </c>
      <c r="E111" s="775"/>
      <c r="F111" s="840"/>
      <c r="G111" s="205"/>
      <c r="H111" s="835"/>
      <c r="I111" s="835"/>
      <c r="J111" s="91"/>
      <c r="K111" s="153"/>
      <c r="L111" s="84"/>
      <c r="N111" s="730"/>
      <c r="O111" s="723">
        <f>IF(OR(ПодгПар!L8=0,ПодгПар!P8="ОЖ",ПодгПар!$A$50&lt;4),"",ПодгПар!AL8)</f>
      </c>
      <c r="P111" s="724"/>
      <c r="Q111" s="725"/>
      <c r="R111" s="750"/>
    </row>
    <row r="112" spans="1:18" ht="9" customHeight="1">
      <c r="A112" s="92"/>
      <c r="C112" s="615"/>
      <c r="D112" s="731" t="str">
        <f>IF(ПолуфиналНеявка(Q83),"Х",IF(P83=0,CONCATENATE(M93,",",M94),IF(P83=1,M94,IF(P83=2,M70,"Х"))))</f>
        <v>поб.поб.,,поб.,,,,поб.поб.,,,,ПАНЬКОВА,ТАРАНОВА</v>
      </c>
      <c r="E112" s="731"/>
      <c r="F112" s="732"/>
      <c r="G112" s="206"/>
      <c r="H112" s="207"/>
      <c r="I112" s="208"/>
      <c r="J112" s="95"/>
      <c r="K112" s="96"/>
      <c r="L112" s="84"/>
      <c r="N112" s="729">
        <f>IF(O112="","",4)</f>
      </c>
      <c r="O112" s="726">
        <f>IF(OR(ПодгПар!L9=0,ПодгПар!P9="ОЖ",ПодгПар!$A$50&lt;4),"",ПодгПар!AB9)</f>
      </c>
      <c r="P112" s="727"/>
      <c r="Q112" s="728"/>
      <c r="R112" s="749">
        <f>IF(OR(ПодгПар!L9=0,ПодгПар!P9="ОЖ",ПодгПар!$A$50&lt;4),"",ПодгПар!L9)</f>
      </c>
    </row>
    <row r="113" spans="1:18" ht="9" customHeight="1">
      <c r="A113" s="92"/>
      <c r="C113" s="615"/>
      <c r="D113" s="722"/>
      <c r="E113" s="722"/>
      <c r="F113" s="722"/>
      <c r="G113" s="97"/>
      <c r="H113" s="94"/>
      <c r="I113" s="95"/>
      <c r="J113" s="95"/>
      <c r="K113" s="96"/>
      <c r="L113" s="84"/>
      <c r="N113" s="730"/>
      <c r="O113" s="723">
        <f>IF(OR(ПодгПар!L9=0,ПодгПар!P9="ОЖ",ПодгПар!$A$50&lt;4),"",ПодгПар!AL9)</f>
      </c>
      <c r="P113" s="724"/>
      <c r="Q113" s="725"/>
      <c r="R113" s="750"/>
    </row>
    <row r="114" spans="3:18" ht="9" customHeight="1">
      <c r="C114" s="615"/>
      <c r="D114" s="114"/>
      <c r="E114" s="98"/>
      <c r="F114" s="98"/>
      <c r="G114" s="99"/>
      <c r="H114" s="59"/>
      <c r="I114" s="100"/>
      <c r="J114" s="100"/>
      <c r="K114" s="101"/>
      <c r="L114" s="84"/>
      <c r="N114" s="729">
        <f>IF(O114="","",5)</f>
      </c>
      <c r="O114" s="726">
        <f>IF(OR(ПодгПар!L10=0,ПодгПар!P10="ОЖ",ПодгПар!$A$50&lt;8),"",ПодгПар!AB10)</f>
      </c>
      <c r="P114" s="727"/>
      <c r="Q114" s="728"/>
      <c r="R114" s="749">
        <f>IF(OR(ПодгПар!L10=0,ПодгПар!P10="ОЖ",ПодгПар!$A$50&lt;8),"",ПодгПар!L10)</f>
      </c>
    </row>
    <row r="115" spans="3:18" ht="9" customHeight="1">
      <c r="C115" s="615"/>
      <c r="D115" s="757"/>
      <c r="E115" s="757"/>
      <c r="F115" s="757"/>
      <c r="G115" s="65"/>
      <c r="H115" s="64"/>
      <c r="I115" s="64"/>
      <c r="J115" s="64"/>
      <c r="K115" s="76"/>
      <c r="L115" s="84"/>
      <c r="N115" s="730"/>
      <c r="O115" s="723">
        <f>IF(OR(ПодгПар!L10=0,ПодгПар!P10="ОЖ",ПодгПар!$A$50&lt;8),"",ПодгПар!AL10)</f>
      </c>
      <c r="P115" s="724"/>
      <c r="Q115" s="725"/>
      <c r="R115" s="750"/>
    </row>
    <row r="116" spans="2:18" ht="9" customHeight="1">
      <c r="B116" s="79"/>
      <c r="C116" s="80"/>
      <c r="D116" s="755"/>
      <c r="E116" s="755"/>
      <c r="F116" s="755"/>
      <c r="G116" s="81"/>
      <c r="H116" s="756"/>
      <c r="I116" s="756"/>
      <c r="J116" s="82"/>
      <c r="K116" s="83"/>
      <c r="L116" s="84"/>
      <c r="N116" s="729">
        <f>IF(O116="","",6)</f>
      </c>
      <c r="O116" s="726">
        <f>IF(OR(ПодгПар!L11=0,ПодгПар!P11="ОЖ",ПодгПар!$A$50&lt;8),"",ПодгПар!AB11)</f>
      </c>
      <c r="P116" s="727"/>
      <c r="Q116" s="728"/>
      <c r="R116" s="749">
        <f>IF(OR(ПодгПар!L11=0,ПодгПар!P11="ОЖ",ПодгПар!$A$50&lt;8),"",ПодгПар!L11)</f>
      </c>
    </row>
    <row r="117" spans="2:18" ht="9" customHeight="1">
      <c r="B117" s="84"/>
      <c r="C117" s="85"/>
      <c r="D117" s="86"/>
      <c r="E117" s="86"/>
      <c r="F117" s="86"/>
      <c r="G117" s="818"/>
      <c r="H117" s="818"/>
      <c r="I117" s="818"/>
      <c r="J117" s="87"/>
      <c r="K117" s="88"/>
      <c r="L117" s="84"/>
      <c r="N117" s="730"/>
      <c r="O117" s="723">
        <f>IF(OR(ПодгПар!L11=0,ПодгПар!P11="ОЖ",ПодгПар!$A$50&lt;8),"",ПодгПар!AL11)</f>
      </c>
      <c r="P117" s="724"/>
      <c r="Q117" s="725"/>
      <c r="R117" s="750"/>
    </row>
    <row r="118" spans="4:18" ht="9" customHeight="1">
      <c r="D118" s="89"/>
      <c r="E118" s="89"/>
      <c r="F118" s="89"/>
      <c r="G118" s="757"/>
      <c r="H118" s="757"/>
      <c r="I118" s="757"/>
      <c r="J118" s="87"/>
      <c r="K118" s="153"/>
      <c r="L118" s="84"/>
      <c r="N118" s="729">
        <f>IF(O118="","",7)</f>
      </c>
      <c r="O118" s="726">
        <f>IF(OR(ПодгПар!L12=0,ПодгПар!P12="ОЖ",ПодгПар!$A$50&lt;8),"",ПодгПар!AB12)</f>
      </c>
      <c r="P118" s="727"/>
      <c r="Q118" s="728"/>
      <c r="R118" s="749">
        <f>IF(OR(ПодгПар!L12=0,ПодгПар!P12="ОЖ",ПодгПар!$A$50&lt;8),"",ПодгПар!L12)</f>
      </c>
    </row>
    <row r="119" spans="4:18" ht="9" customHeight="1">
      <c r="D119" s="819"/>
      <c r="E119" s="819"/>
      <c r="F119" s="819"/>
      <c r="G119" s="588"/>
      <c r="H119" s="820"/>
      <c r="I119" s="820"/>
      <c r="J119" s="91"/>
      <c r="K119" s="153"/>
      <c r="L119" s="84"/>
      <c r="N119" s="730"/>
      <c r="O119" s="723">
        <f>IF(OR(ПодгПар!L12=0,ПодгПар!P12="ОЖ",ПодгПар!$A$50&lt;8),"",ПодгПар!AL12)</f>
      </c>
      <c r="P119" s="724"/>
      <c r="Q119" s="725"/>
      <c r="R119" s="750"/>
    </row>
    <row r="120" spans="1:18" ht="9.75" customHeight="1">
      <c r="A120" s="92" t="s">
        <v>16</v>
      </c>
      <c r="C120" s="8"/>
      <c r="D120" s="102"/>
      <c r="E120" s="102"/>
      <c r="F120" s="817" t="str">
        <f>IF(Установка!$C$11="","",UPPER(Установка!$C$11))</f>
        <v>ЗЕЛИНГЕР М.М.</v>
      </c>
      <c r="G120" s="817"/>
      <c r="H120" s="817"/>
      <c r="I120" s="817"/>
      <c r="J120" s="103"/>
      <c r="K120" s="101"/>
      <c r="N120" s="729">
        <f>IF(O120="","",8)</f>
      </c>
      <c r="O120" s="726">
        <f>IF(OR(ПодгПар!L13=0,ПодгПар!P13="ОЖ",ПодгПар!$A$50&lt;8),"",ПодгПар!AB13)</f>
      </c>
      <c r="P120" s="727"/>
      <c r="Q120" s="728"/>
      <c r="R120" s="749">
        <f>IF(OR(ПодгПар!L13=0,ПодгПар!P13="ОЖ",ПодгПар!$A$50&lt;8),"",ПодгПар!L13)</f>
      </c>
    </row>
    <row r="121" spans="3:18" ht="9.75" customHeight="1" thickBot="1">
      <c r="C121" s="8"/>
      <c r="D121" s="104" t="s">
        <v>17</v>
      </c>
      <c r="E121" s="104"/>
      <c r="F121" s="827" t="s">
        <v>18</v>
      </c>
      <c r="G121" s="827"/>
      <c r="H121" s="827"/>
      <c r="I121" s="827"/>
      <c r="J121" s="105"/>
      <c r="K121" s="96"/>
      <c r="N121" s="748"/>
      <c r="O121" s="751">
        <f>IF(OR(ПодгПар!L13=0,ПодгПар!P13="ОЖ",ПодгПар!$A$50&lt;8),"",ПодгПар!AL13)</f>
      </c>
      <c r="P121" s="752"/>
      <c r="Q121" s="753"/>
      <c r="R121" s="754"/>
    </row>
    <row r="122" spans="3:10" ht="9.75" customHeight="1">
      <c r="C122" s="8"/>
      <c r="D122" s="104"/>
      <c r="E122" s="104"/>
      <c r="F122" s="828"/>
      <c r="G122" s="828"/>
      <c r="H122" s="84"/>
      <c r="I122" s="84"/>
      <c r="J122" s="107"/>
    </row>
    <row r="123" spans="1:10" ht="9.75" customHeight="1">
      <c r="A123" s="92" t="s">
        <v>19</v>
      </c>
      <c r="C123" s="8"/>
      <c r="D123" s="102"/>
      <c r="E123" s="102"/>
      <c r="F123" s="817" t="str">
        <f>IF(Установка!$C$12="","",UPPER(Установка!$C$12))</f>
        <v>ГУТОВ К.Г.</v>
      </c>
      <c r="G123" s="817"/>
      <c r="H123" s="817"/>
      <c r="I123" s="817"/>
      <c r="J123" s="103"/>
    </row>
    <row r="124" spans="3:10" ht="9.75" customHeight="1">
      <c r="C124" s="8"/>
      <c r="D124" s="104" t="s">
        <v>17</v>
      </c>
      <c r="E124" s="104"/>
      <c r="F124" s="825" t="s">
        <v>18</v>
      </c>
      <c r="G124" s="825"/>
      <c r="H124" s="825"/>
      <c r="I124" s="825"/>
      <c r="J124" s="105"/>
    </row>
  </sheetData>
  <sheetProtection sheet="1" objects="1" scenarios="1" selectLockedCells="1"/>
  <mergeCells count="339">
    <mergeCell ref="B1:Q1"/>
    <mergeCell ref="B2:Q2"/>
    <mergeCell ref="B3:Q3"/>
    <mergeCell ref="B4:Q4"/>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C86:C87"/>
    <mergeCell ref="H86:I86"/>
    <mergeCell ref="A84:A85"/>
    <mergeCell ref="B84:B85"/>
    <mergeCell ref="C84:C85"/>
    <mergeCell ref="G84:I84"/>
    <mergeCell ref="G85:I85"/>
    <mergeCell ref="A82:A83"/>
    <mergeCell ref="B82:B83"/>
    <mergeCell ref="C82:C83"/>
    <mergeCell ref="D82:D83"/>
    <mergeCell ref="C80:C81"/>
    <mergeCell ref="H80:I80"/>
    <mergeCell ref="F82:F83"/>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A72:A73"/>
    <mergeCell ref="B72:B73"/>
    <mergeCell ref="C72:C73"/>
    <mergeCell ref="G72:I72"/>
    <mergeCell ref="G73:I73"/>
    <mergeCell ref="C68:C69"/>
    <mergeCell ref="F70:F71"/>
    <mergeCell ref="D70:D71"/>
    <mergeCell ref="C74:C75"/>
    <mergeCell ref="H74:I74"/>
    <mergeCell ref="M70:O70"/>
    <mergeCell ref="N71:O71"/>
    <mergeCell ref="M69:O69"/>
    <mergeCell ref="A68:A69"/>
    <mergeCell ref="B68:B69"/>
    <mergeCell ref="A70:A71"/>
    <mergeCell ref="B70:B71"/>
    <mergeCell ref="C70:C71"/>
    <mergeCell ref="N68:O68"/>
    <mergeCell ref="C64:C65"/>
    <mergeCell ref="D64:D65"/>
    <mergeCell ref="A66:A67"/>
    <mergeCell ref="B66:B67"/>
    <mergeCell ref="C66:C67"/>
    <mergeCell ref="F64:F65"/>
    <mergeCell ref="A54:A55"/>
    <mergeCell ref="A56:A57"/>
    <mergeCell ref="A64:A65"/>
    <mergeCell ref="B64:B65"/>
    <mergeCell ref="A62:A63"/>
    <mergeCell ref="B62:B63"/>
    <mergeCell ref="A60:A61"/>
    <mergeCell ref="B60:B61"/>
    <mergeCell ref="B54:B55"/>
    <mergeCell ref="B56:B57"/>
    <mergeCell ref="B50:B51"/>
    <mergeCell ref="B52:B53"/>
    <mergeCell ref="M45:O45"/>
    <mergeCell ref="M46:O46"/>
    <mergeCell ref="B46:B47"/>
    <mergeCell ref="B48:B49"/>
    <mergeCell ref="G48:I48"/>
    <mergeCell ref="G49:I49"/>
    <mergeCell ref="N47:O47"/>
    <mergeCell ref="B44:B45"/>
    <mergeCell ref="R10:R11"/>
    <mergeCell ref="M21:O21"/>
    <mergeCell ref="M22:O22"/>
    <mergeCell ref="N23:O23"/>
    <mergeCell ref="N20:O20"/>
    <mergeCell ref="Q35:R35"/>
    <mergeCell ref="P33:R33"/>
    <mergeCell ref="P34:R34"/>
    <mergeCell ref="C16:C17"/>
    <mergeCell ref="J28:L28"/>
    <mergeCell ref="J52:L52"/>
    <mergeCell ref="J40:L40"/>
    <mergeCell ref="J51:L51"/>
    <mergeCell ref="K29:L29"/>
    <mergeCell ref="K41:L41"/>
    <mergeCell ref="J39:L39"/>
    <mergeCell ref="H56:I56"/>
    <mergeCell ref="G54:I54"/>
    <mergeCell ref="C60:C61"/>
    <mergeCell ref="G60:I60"/>
    <mergeCell ref="C56:C57"/>
    <mergeCell ref="H14:I14"/>
    <mergeCell ref="G42:I42"/>
    <mergeCell ref="G25:I25"/>
    <mergeCell ref="F16:F17"/>
    <mergeCell ref="F40:F41"/>
    <mergeCell ref="C30:C31"/>
    <mergeCell ref="D28:D29"/>
    <mergeCell ref="C34:C35"/>
    <mergeCell ref="D34:D35"/>
    <mergeCell ref="J63:L63"/>
    <mergeCell ref="J64:L64"/>
    <mergeCell ref="H50:I50"/>
    <mergeCell ref="H44:I44"/>
    <mergeCell ref="H62:I62"/>
    <mergeCell ref="K53:L53"/>
    <mergeCell ref="C38:C39"/>
    <mergeCell ref="C40:C41"/>
    <mergeCell ref="C36:C37"/>
    <mergeCell ref="B40:B41"/>
    <mergeCell ref="B42:B43"/>
    <mergeCell ref="B32:B33"/>
    <mergeCell ref="B34:B35"/>
    <mergeCell ref="C32:C33"/>
    <mergeCell ref="C62:C63"/>
    <mergeCell ref="C20:C21"/>
    <mergeCell ref="C18:C19"/>
    <mergeCell ref="G37:I37"/>
    <mergeCell ref="H38:I38"/>
    <mergeCell ref="H20:I20"/>
    <mergeCell ref="H32:I32"/>
    <mergeCell ref="G30:I30"/>
    <mergeCell ref="G31:I31"/>
    <mergeCell ref="G36:I36"/>
    <mergeCell ref="G43:I43"/>
    <mergeCell ref="B16:B17"/>
    <mergeCell ref="B18:B19"/>
    <mergeCell ref="B20:B21"/>
    <mergeCell ref="B30:B31"/>
    <mergeCell ref="B22:B23"/>
    <mergeCell ref="B24:B25"/>
    <mergeCell ref="B36:B37"/>
    <mergeCell ref="B38:B39"/>
    <mergeCell ref="C42:C43"/>
    <mergeCell ref="C44:C45"/>
    <mergeCell ref="A50:A51"/>
    <mergeCell ref="A52:A53"/>
    <mergeCell ref="A38:A39"/>
    <mergeCell ref="A40:A41"/>
    <mergeCell ref="A42:A43"/>
    <mergeCell ref="A44:A45"/>
    <mergeCell ref="A46:A47"/>
    <mergeCell ref="A48:A49"/>
    <mergeCell ref="C46:C47"/>
    <mergeCell ref="A30:A31"/>
    <mergeCell ref="A32:A33"/>
    <mergeCell ref="A34:A35"/>
    <mergeCell ref="A36:A37"/>
    <mergeCell ref="A16:A17"/>
    <mergeCell ref="A18:A19"/>
    <mergeCell ref="A20:A21"/>
    <mergeCell ref="A22:A23"/>
    <mergeCell ref="A24:A25"/>
    <mergeCell ref="A26:A27"/>
    <mergeCell ref="A28:A29"/>
    <mergeCell ref="F22:F23"/>
    <mergeCell ref="C26:C27"/>
    <mergeCell ref="C24:C25"/>
    <mergeCell ref="C22:C23"/>
    <mergeCell ref="B26:B27"/>
    <mergeCell ref="F28:F29"/>
    <mergeCell ref="B28:B29"/>
    <mergeCell ref="C28:C29"/>
    <mergeCell ref="D46:D47"/>
    <mergeCell ref="F52:F53"/>
    <mergeCell ref="F46:F47"/>
    <mergeCell ref="D16:D17"/>
    <mergeCell ref="D40:D41"/>
    <mergeCell ref="D22:D23"/>
    <mergeCell ref="D52:D53"/>
    <mergeCell ref="F34:F35"/>
    <mergeCell ref="D9:D11"/>
    <mergeCell ref="E9:E11"/>
    <mergeCell ref="F9:F11"/>
    <mergeCell ref="G12:I12"/>
    <mergeCell ref="H26:I26"/>
    <mergeCell ref="J16:L16"/>
    <mergeCell ref="J15:L15"/>
    <mergeCell ref="K17:L17"/>
    <mergeCell ref="G18:I18"/>
    <mergeCell ref="G19:I19"/>
    <mergeCell ref="J27:L27"/>
    <mergeCell ref="O8:Q8"/>
    <mergeCell ref="L8:N8"/>
    <mergeCell ref="F8:H8"/>
    <mergeCell ref="G13:I13"/>
    <mergeCell ref="I8:K8"/>
    <mergeCell ref="G24:I24"/>
    <mergeCell ref="Q5:R5"/>
    <mergeCell ref="H5:K5"/>
    <mergeCell ref="L5:O5"/>
    <mergeCell ref="A9:A11"/>
    <mergeCell ref="B9:B11"/>
    <mergeCell ref="C9:C11"/>
    <mergeCell ref="A6:B6"/>
    <mergeCell ref="Q6:R6"/>
    <mergeCell ref="H6:I6"/>
    <mergeCell ref="K6:L6"/>
    <mergeCell ref="A14:A15"/>
    <mergeCell ref="C14:C15"/>
    <mergeCell ref="C12:C13"/>
    <mergeCell ref="B14:B15"/>
    <mergeCell ref="A12:A13"/>
    <mergeCell ref="B12:B13"/>
    <mergeCell ref="C50:C51"/>
    <mergeCell ref="C52:C53"/>
    <mergeCell ref="C54:C55"/>
    <mergeCell ref="C48:C49"/>
    <mergeCell ref="F124:I124"/>
    <mergeCell ref="H108:I108"/>
    <mergeCell ref="F120:I120"/>
    <mergeCell ref="F121:I121"/>
    <mergeCell ref="F122:G122"/>
    <mergeCell ref="F123:I123"/>
    <mergeCell ref="G117:I117"/>
    <mergeCell ref="G118:I118"/>
    <mergeCell ref="D119:F119"/>
    <mergeCell ref="H119:I119"/>
    <mergeCell ref="D112:F112"/>
    <mergeCell ref="D113:F113"/>
    <mergeCell ref="D107:F107"/>
    <mergeCell ref="K65:L65"/>
    <mergeCell ref="H111:I111"/>
    <mergeCell ref="G55:I55"/>
    <mergeCell ref="H68:I68"/>
    <mergeCell ref="G61:I61"/>
    <mergeCell ref="G66:I66"/>
    <mergeCell ref="G67:I67"/>
    <mergeCell ref="G110:I110"/>
    <mergeCell ref="G109:I109"/>
    <mergeCell ref="Q57:R57"/>
    <mergeCell ref="Q58:R58"/>
    <mergeCell ref="Q59:R59"/>
    <mergeCell ref="R106:R107"/>
    <mergeCell ref="P81:R81"/>
    <mergeCell ref="P82:R82"/>
    <mergeCell ref="Q83:R83"/>
    <mergeCell ref="R108:R109"/>
    <mergeCell ref="R110:R111"/>
    <mergeCell ref="N108:N109"/>
    <mergeCell ref="D111:F111"/>
    <mergeCell ref="N110:N111"/>
    <mergeCell ref="O108:Q108"/>
    <mergeCell ref="O109:Q109"/>
    <mergeCell ref="O110:Q110"/>
    <mergeCell ref="O111:Q111"/>
    <mergeCell ref="D108:F108"/>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24:D27 D30:D33 D36:D39 D42:D45 D48:D51 D54:D57 D60:D63 D66:D69 D72:D75 D78:D81 D84:D87 D90:D93 D96:D99 D102:D105">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50 C38 C14 C44 C20 C26 C98 C32 C56 C62 C68 C74 C80 C86 C92 C48 C54 C12 C24 C18 C36 C42 C30 C60 C66 C72 C78 C84 C90 C96 C102 C104">
    <cfRule type="expression" priority="25" dxfId="211" stopIfTrue="1">
      <formula>AND(C12&lt;&gt;"Х",C12&lt;&gt;"х",COUNTIF($C$12:$C$105,C12)&gt;1)</formula>
    </cfRule>
  </conditionalFormatting>
  <conditionalFormatting sqref="H111:I112 D109:F110 G112 J107:K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8:F108">
    <cfRule type="expression" priority="29" dxfId="213" stopIfTrue="1">
      <formula>$AA$1=TRUE</formula>
    </cfRule>
    <cfRule type="expression" priority="30" dxfId="209" stopIfTrue="1">
      <formula>LEFT($D107,3)="пр."</formula>
    </cfRule>
  </conditionalFormatting>
  <conditionalFormatting sqref="D107:F107 D111:F111">
    <cfRule type="expression" priority="31" dxfId="213" stopIfTrue="1">
      <formula>$AA$1=TRUE</formula>
    </cfRule>
    <cfRule type="expression" priority="32" dxfId="209" stopIfTrue="1">
      <formula>LEFT($D107,3)="пр."</formula>
    </cfRule>
  </conditionalFormatting>
  <conditionalFormatting sqref="Q57:R57">
    <cfRule type="expression" priority="33" dxfId="207" stopIfTrue="1">
      <formula>COUNTIF($O$106:$Q$121,Q57)&gt;0</formula>
    </cfRule>
    <cfRule type="expression" priority="34" dxfId="209" stopIfTrue="1">
      <formula>LEFT($Q57,4)="поб."</formula>
    </cfRule>
  </conditionalFormatting>
  <conditionalFormatting sqref="Q58:R58">
    <cfRule type="expression" priority="35" dxfId="207" stopIfTrue="1">
      <formula>COUNTIF($O$106:$Q$121,Q58)&gt;0</formula>
    </cfRule>
    <cfRule type="expression" priority="36" dxfId="209" stopIfTrue="1">
      <formula>LEFT($Q57,4)="поб."</formula>
    </cfRule>
  </conditionalFormatting>
  <conditionalFormatting sqref="G109:I109">
    <cfRule type="expression" priority="37" dxfId="213" stopIfTrue="1">
      <formula>$AA$1=TRUE</formula>
    </cfRule>
    <cfRule type="expression" priority="38" dxfId="209" stopIfTrue="1">
      <formula>LEFT($G109,4)="поб."</formula>
    </cfRule>
  </conditionalFormatting>
  <conditionalFormatting sqref="G110:I110">
    <cfRule type="expression" priority="39" dxfId="213" stopIfTrue="1">
      <formula>$AA$1=TRUE</formula>
    </cfRule>
    <cfRule type="expression" priority="40" dxfId="209" stopIfTrue="1">
      <formula>LEFT($G109,4)="поб."</formula>
    </cfRule>
  </conditionalFormatting>
  <conditionalFormatting sqref="D112:F112">
    <cfRule type="expression" priority="41" dxfId="213" stopIfTrue="1">
      <formula>$AA$1=TRUE</formula>
    </cfRule>
    <cfRule type="expression" priority="42" dxfId="209" stopIfTrue="1">
      <formula>LEFT($D111,3)="пр."</formula>
    </cfRule>
  </conditionalFormatting>
  <conditionalFormatting sqref="D113:F113">
    <cfRule type="expression" priority="43" dxfId="208" stopIfTrue="1">
      <formula>$AA$1=TRUE</formula>
    </cfRule>
  </conditionalFormatting>
  <printOptions horizontalCentered="1"/>
  <pageMargins left="0.15" right="0.14" top="0.16" bottom="0.22" header="0" footer="0"/>
  <pageSetup fitToHeight="1" fitToWidth="1" horizontalDpi="600" verticalDpi="600" orientation="portrait" paperSize="9" scale="72" r:id="rId3"/>
  <drawing r:id="rId2"/>
  <legacyDrawing r:id="rId1"/>
</worksheet>
</file>

<file path=xl/worksheets/sheet9.xml><?xml version="1.0" encoding="utf-8"?>
<worksheet xmlns="http://schemas.openxmlformats.org/spreadsheetml/2006/main" xmlns:r="http://schemas.openxmlformats.org/officeDocument/2006/relationships">
  <sheetPr codeName="Лист11">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G14" sqref="G14"/>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9.125" style="1" hidden="1" customWidth="1"/>
    <col min="28" max="16384" width="9.125" style="1" customWidth="1"/>
  </cols>
  <sheetData>
    <row r="1" spans="2:27" ht="31.5" customHeight="1">
      <c r="B1" s="836" t="s">
        <v>78</v>
      </c>
      <c r="C1" s="836"/>
      <c r="D1" s="836"/>
      <c r="E1" s="836"/>
      <c r="F1" s="836"/>
      <c r="G1" s="836"/>
      <c r="H1" s="836"/>
      <c r="I1" s="836"/>
      <c r="J1" s="836"/>
      <c r="K1" s="836"/>
      <c r="L1" s="836"/>
      <c r="M1" s="836"/>
      <c r="N1" s="836"/>
      <c r="O1" s="836"/>
      <c r="P1" s="836"/>
      <c r="Q1" s="836"/>
      <c r="R1" s="2"/>
      <c r="AA1" s="620" t="b">
        <v>0</v>
      </c>
    </row>
    <row r="2" spans="1:18" s="6" customFormat="1" ht="18">
      <c r="A2" s="3"/>
      <c r="B2" s="884" t="str">
        <f>IF(Установка!C3="","",UPPER(Установка!C3))</f>
        <v>ПЕРВЕНСТВО ЧЕЛЯБИНСКОЙ ОБЛАСТИ</v>
      </c>
      <c r="C2" s="884"/>
      <c r="D2" s="884"/>
      <c r="E2" s="884"/>
      <c r="F2" s="884"/>
      <c r="G2" s="884"/>
      <c r="H2" s="884"/>
      <c r="I2" s="884"/>
      <c r="J2" s="884"/>
      <c r="K2" s="884"/>
      <c r="L2" s="884"/>
      <c r="M2" s="884"/>
      <c r="N2" s="884"/>
      <c r="O2" s="884"/>
      <c r="P2" s="884"/>
      <c r="Q2" s="884"/>
      <c r="R2" s="129"/>
    </row>
    <row r="3" spans="2:18" s="6" customFormat="1" ht="8.25" customHeight="1">
      <c r="B3" s="838" t="s">
        <v>0</v>
      </c>
      <c r="C3" s="838"/>
      <c r="D3" s="838"/>
      <c r="E3" s="838"/>
      <c r="F3" s="838"/>
      <c r="G3" s="838"/>
      <c r="H3" s="838"/>
      <c r="I3" s="838"/>
      <c r="J3" s="838"/>
      <c r="K3" s="838"/>
      <c r="L3" s="838"/>
      <c r="M3" s="838"/>
      <c r="N3" s="838"/>
      <c r="O3" s="838"/>
      <c r="P3" s="838"/>
      <c r="Q3" s="838"/>
      <c r="R3" s="7"/>
    </row>
    <row r="4" spans="3:18" ht="11.25" customHeight="1">
      <c r="C4" s="1"/>
      <c r="D4" s="808" t="s">
        <v>173</v>
      </c>
      <c r="E4" s="839"/>
      <c r="F4" s="839"/>
      <c r="G4" s="839"/>
      <c r="H4" s="839"/>
      <c r="I4" s="839"/>
      <c r="J4" s="839"/>
      <c r="K4" s="839"/>
      <c r="L4" s="839"/>
      <c r="M4" s="839"/>
      <c r="N4" s="839"/>
      <c r="O4" s="839"/>
      <c r="P4" s="839"/>
      <c r="Q4" s="839"/>
      <c r="R4" s="10"/>
    </row>
    <row r="5" spans="8:18" ht="12" customHeight="1">
      <c r="H5" s="810" t="s">
        <v>1</v>
      </c>
      <c r="I5" s="810"/>
      <c r="J5" s="810"/>
      <c r="K5" s="810"/>
      <c r="L5" s="811" t="str">
        <f>IF(Установка!$C$4="","",UPPER(Установка!$C$4))</f>
        <v>ДО 13 ЛЕТ</v>
      </c>
      <c r="M5" s="811"/>
      <c r="N5" s="811"/>
      <c r="O5" s="811"/>
      <c r="P5" s="13"/>
      <c r="Q5" s="809" t="str">
        <f>IF(Установка!$C$5="","Ю/Д/М/Ж/СМ",UPPER(Установка!$C$5))</f>
        <v>ДЕВУШКИ</v>
      </c>
      <c r="R5" s="809"/>
    </row>
    <row r="6" spans="1:18" s="22" customFormat="1" ht="18" customHeight="1">
      <c r="A6" s="814" t="s">
        <v>31</v>
      </c>
      <c r="B6" s="814"/>
      <c r="C6" s="14"/>
      <c r="D6" s="656" t="str">
        <f>IF(Установка!C6="","",UPPER(Установка!C6))</f>
        <v>ЧЕЛЯБИНСК</v>
      </c>
      <c r="E6" s="15"/>
      <c r="F6" s="16"/>
      <c r="G6" s="17"/>
      <c r="H6" s="806" t="s">
        <v>32</v>
      </c>
      <c r="I6" s="806"/>
      <c r="J6" s="18"/>
      <c r="K6" s="807" t="str">
        <f>IF(Установка!C7="","",UPPER(Установка!C7))</f>
        <v>07-13.09.2015</v>
      </c>
      <c r="L6" s="807"/>
      <c r="M6" s="19"/>
      <c r="N6" s="20"/>
      <c r="O6" s="21" t="s">
        <v>33</v>
      </c>
      <c r="P6" s="21"/>
      <c r="Q6" s="805" t="str">
        <f>IF(Установка!$C$8="","",UPPER(Установка!$C$8))</f>
        <v>IIIВ</v>
      </c>
      <c r="R6" s="805"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808" t="s">
        <v>4</v>
      </c>
      <c r="G8" s="808"/>
      <c r="H8" s="808"/>
      <c r="I8" s="808" t="s">
        <v>5</v>
      </c>
      <c r="J8" s="808"/>
      <c r="K8" s="808"/>
      <c r="L8" s="808" t="s">
        <v>6</v>
      </c>
      <c r="M8" s="808"/>
      <c r="N8" s="808"/>
      <c r="O8" s="808" t="s">
        <v>7</v>
      </c>
      <c r="P8" s="808"/>
      <c r="Q8" s="808"/>
      <c r="R8" s="34"/>
    </row>
    <row r="9" spans="1:18" ht="6" customHeight="1">
      <c r="A9" s="821" t="s">
        <v>8</v>
      </c>
      <c r="B9" s="823" t="s">
        <v>9</v>
      </c>
      <c r="C9" s="854">
        <f>MAX(C12:C57)+1</f>
        <v>3</v>
      </c>
      <c r="D9" s="801" t="s">
        <v>34</v>
      </c>
      <c r="E9" s="803"/>
      <c r="F9" s="130"/>
      <c r="G9" s="35"/>
      <c r="H9" s="36"/>
      <c r="I9" s="8"/>
      <c r="J9" s="37"/>
      <c r="K9" s="8"/>
      <c r="L9" s="8"/>
      <c r="M9" s="38"/>
      <c r="N9" s="38"/>
      <c r="O9" s="38"/>
      <c r="P9" s="38"/>
      <c r="Q9" s="39"/>
      <c r="R9" s="38"/>
    </row>
    <row r="10" spans="1:18" ht="9.75" customHeight="1">
      <c r="A10" s="822"/>
      <c r="B10" s="824"/>
      <c r="C10" s="854"/>
      <c r="D10" s="801"/>
      <c r="E10" s="803"/>
      <c r="F10" s="131" t="s">
        <v>21</v>
      </c>
      <c r="G10" s="40"/>
      <c r="H10" s="41"/>
      <c r="I10" s="42"/>
      <c r="J10" s="43"/>
      <c r="K10" s="43"/>
      <c r="L10" s="43"/>
      <c r="M10" s="44"/>
      <c r="N10" s="45"/>
      <c r="O10" s="46"/>
      <c r="P10" s="44"/>
      <c r="Q10" s="45"/>
      <c r="R10" s="803"/>
    </row>
    <row r="11" spans="1:18" s="53" customFormat="1" ht="9.75" customHeight="1" thickBot="1">
      <c r="A11" s="822"/>
      <c r="B11" s="824"/>
      <c r="C11" s="855"/>
      <c r="D11" s="802"/>
      <c r="E11" s="804"/>
      <c r="F11" s="132" t="s">
        <v>35</v>
      </c>
      <c r="G11" s="40"/>
      <c r="H11" s="47"/>
      <c r="I11" s="48"/>
      <c r="J11" s="49"/>
      <c r="K11" s="49"/>
      <c r="L11" s="49"/>
      <c r="M11" s="50"/>
      <c r="N11" s="51"/>
      <c r="O11" s="52"/>
      <c r="P11" s="50"/>
      <c r="Q11" s="51"/>
      <c r="R11" s="880"/>
    </row>
    <row r="12" spans="1:18" s="53" customFormat="1" ht="15" customHeight="1">
      <c r="A12" s="758" t="str">
        <f>IF($C12="","1",IF(AND($C12&gt;=1,$C12&lt;17),INDEX(ПодгПар!$P$6:$P$21,$C12),""))</f>
        <v>1 </v>
      </c>
      <c r="B12" s="759">
        <v>1</v>
      </c>
      <c r="C12" s="796">
        <v>1</v>
      </c>
      <c r="D12" s="133" t="str">
        <f>IF($C12="","",IF(AND($C12&gt;=1,$C12&lt;17),INDEX(ПодгПар!$AB$6:$AB$21,$C12,1),"Х"))</f>
        <v>МАТВЕЕВА</v>
      </c>
      <c r="E12" s="134" t="str">
        <f>IF($C12="","",IF(AND($C12&gt;=1,$C12&lt;17),INDEX(ПодгПар!$W$6:$W$21,$C12,1),""))</f>
        <v>Е.О.</v>
      </c>
      <c r="F12" s="135" t="str">
        <f>IF($C12="","",IF(AND($C12&gt;=1,$C12&lt;17),INDEX(ПодгПар!$F$6:$F$21,$C12,1),""))</f>
        <v>Уфа</v>
      </c>
      <c r="G12" s="857" t="str">
        <f>IF(G14=0,CONCATENATE("поб.",D12,",",D13),IF(G14=1,D12,IF(G14=2,D14,"Х")))</f>
        <v>поб.МАТВЕЕВА,ХАБАРОВА</v>
      </c>
      <c r="H12" s="858"/>
      <c r="I12" s="858"/>
      <c r="J12" s="54"/>
      <c r="K12" s="55"/>
      <c r="L12" s="55"/>
      <c r="M12" s="56"/>
      <c r="N12" s="56"/>
      <c r="O12" s="56"/>
      <c r="P12" s="57"/>
      <c r="Q12" s="56"/>
      <c r="R12" s="56"/>
    </row>
    <row r="13" spans="1:19" s="9" customFormat="1" ht="15" customHeight="1">
      <c r="A13" s="730"/>
      <c r="B13" s="760"/>
      <c r="C13" s="797"/>
      <c r="D13" s="165" t="str">
        <f>IF($C12="","",IF(AND($C12&gt;=1,$C12&lt;17),INDEX(ПодгПар!$AL$6:$AL$21,$C12,1),"Х"))</f>
        <v>ХАБАРОВА</v>
      </c>
      <c r="E13" s="166" t="str">
        <f>IF($C12="","",IF(AND($C12&gt;=1,$C12&lt;17),INDEX(ПодгПар!$AJ$6:$AJ$21,$C12,1),""))</f>
        <v>А.О.</v>
      </c>
      <c r="F13" s="167" t="str">
        <f>IF($C12="","",IF(AND($C12&gt;=1,$C12&lt;17),INDEX(ПодгПар!$K$6:$K$21,$C12,1),""))</f>
        <v>Уфа</v>
      </c>
      <c r="G13" s="862" t="str">
        <f>IF(G14=0,CONCATENATE(D14,",",D15),IF(G14=1,D13,IF(G14=2,D15,"Х")))</f>
        <v>,</v>
      </c>
      <c r="H13" s="863"/>
      <c r="I13" s="863"/>
      <c r="J13" s="58"/>
      <c r="K13" s="59"/>
      <c r="L13" s="59"/>
      <c r="M13" s="60"/>
      <c r="N13" s="61"/>
      <c r="O13" s="61"/>
      <c r="P13" s="60"/>
      <c r="Q13" s="61"/>
      <c r="R13" s="61"/>
      <c r="S13" s="62"/>
    </row>
    <row r="14" spans="1:19" s="9" customFormat="1" ht="15" customHeight="1">
      <c r="A14" s="729">
        <f>IF($C14="","",IF(AND($C14&gt;=1,$C14&lt;17),INDEX(ПодгПар!$P$6:$P$21,$C14),""))</f>
      </c>
      <c r="B14" s="769">
        <v>2</v>
      </c>
      <c r="C14" s="788"/>
      <c r="D14" s="136">
        <f>IF($C14="","",IF(AND($C14&gt;=1,$C14&lt;17),INDEX(ПодгПар!$AB$6:$AB$21,$C14,1),"Х"))</f>
      </c>
      <c r="E14" s="137">
        <f>IF($C14="","",IF(AND($C14&gt;=1,$C14&lt;17),INDEX(ПодгПар!$W$6:$W$21,$C14,1),""))</f>
      </c>
      <c r="F14" s="138">
        <f>IF($C14="","",IF(AND($C14&gt;=1,$C14&lt;17),INDEX(ПодгПар!$F$6:$F$21,$C14,1),""))</f>
      </c>
      <c r="G14" s="139"/>
      <c r="H14" s="848"/>
      <c r="I14" s="856"/>
      <c r="J14" s="63"/>
      <c r="K14" s="59"/>
      <c r="L14" s="59"/>
      <c r="M14" s="60"/>
      <c r="N14" s="61"/>
      <c r="O14" s="61"/>
      <c r="P14" s="60"/>
      <c r="Q14" s="61"/>
      <c r="R14" s="61"/>
      <c r="S14" s="62"/>
    </row>
    <row r="15" spans="1:19" s="9" customFormat="1" ht="15" customHeight="1" thickBot="1">
      <c r="A15" s="748"/>
      <c r="B15" s="770"/>
      <c r="C15" s="789"/>
      <c r="D15" s="168">
        <f>IF($C14="","",IF(AND($C14&gt;=1,$C14&lt;17),INDEX(ПодгПар!$AL$6:$AL$21,$C14,1),"Х"))</f>
      </c>
      <c r="E15" s="169">
        <f>IF($C14="","",IF(AND($C14&gt;=1,$C14&lt;17),INDEX(ПодгПар!$AJ$6:$AJ$21,$C14,1),""))</f>
      </c>
      <c r="F15" s="170">
        <f>IF($C14="","",IF(AND($C14&gt;=1,$C14&lt;17),INDEX(ПодгПар!$K$6:$K$21,$C14,1),""))</f>
      </c>
      <c r="G15" s="116"/>
      <c r="H15" s="140"/>
      <c r="I15" s="141"/>
      <c r="J15" s="860" t="str">
        <f>IF(J17=0,CONCATENATE("поб.",G12,",",G13),IF(J17=1,G12,IF(J17=2,G18,"Х")))</f>
        <v>поб.поб.МАТВЕЕВА,ХАБАРОВА,,</v>
      </c>
      <c r="K15" s="861"/>
      <c r="L15" s="861"/>
      <c r="M15" s="63"/>
      <c r="N15" s="61"/>
      <c r="O15" s="61"/>
      <c r="P15" s="60"/>
      <c r="Q15" s="61"/>
      <c r="R15" s="61"/>
      <c r="S15" s="62"/>
    </row>
    <row r="16" spans="1:19" s="9" customFormat="1" ht="15" customHeight="1">
      <c r="A16" s="776"/>
      <c r="B16" s="778"/>
      <c r="C16" s="780"/>
      <c r="D16" s="849"/>
      <c r="E16" s="142"/>
      <c r="F16" s="849"/>
      <c r="G16" s="65"/>
      <c r="H16" s="140"/>
      <c r="I16" s="141"/>
      <c r="J16" s="875" t="str">
        <f>IF(J17=0,CONCATENATE(G18,",",G19),IF(J17=1,G13,IF(J17=2,G19,"Х")))</f>
        <v>поб.,,,</v>
      </c>
      <c r="K16" s="876"/>
      <c r="L16" s="876"/>
      <c r="M16" s="63"/>
      <c r="N16" s="61"/>
      <c r="O16" s="61"/>
      <c r="P16" s="60"/>
      <c r="Q16" s="61"/>
      <c r="R16" s="61"/>
      <c r="S16" s="62"/>
    </row>
    <row r="17" spans="1:19" s="9" customFormat="1" ht="15" customHeight="1" thickBot="1">
      <c r="A17" s="777"/>
      <c r="B17" s="779"/>
      <c r="C17" s="781"/>
      <c r="D17" s="850"/>
      <c r="E17" s="143"/>
      <c r="F17" s="850"/>
      <c r="G17" s="65"/>
      <c r="H17" s="64"/>
      <c r="I17" s="144"/>
      <c r="J17" s="145"/>
      <c r="K17" s="873"/>
      <c r="L17" s="873"/>
      <c r="M17" s="66"/>
      <c r="N17" s="61"/>
      <c r="O17" s="61"/>
      <c r="P17" s="60"/>
      <c r="Q17" s="61"/>
      <c r="R17" s="61"/>
      <c r="S17" s="62"/>
    </row>
    <row r="18" spans="1:19" s="9" customFormat="1" ht="15" customHeight="1">
      <c r="A18" s="758">
        <f>IF($C18="","",IF(AND($C18&gt;=1,$C18&lt;17),INDEX(ПодгПар!$P$6:$P$21,$C18),""))</f>
      </c>
      <c r="B18" s="759">
        <v>3</v>
      </c>
      <c r="C18" s="761"/>
      <c r="D18" s="133">
        <f>IF($C18="","",IF(AND($C18&gt;=1,$C18&lt;17),INDEX(ПодгПар!$AB$6:$AB$21,$C18,1),"Х"))</f>
      </c>
      <c r="E18" s="134">
        <f>IF($C18="","",IF(AND($C18&gt;=1,$C18&lt;17),INDEX(ПодгПар!$W$6:$W$21,$C18,1),""))</f>
      </c>
      <c r="F18" s="135">
        <f>IF($C18="","",IF(AND($C18&gt;=1,$C18&lt;17),INDEX(ПодгПар!$F$6:$F$21,$C18,1),""))</f>
      </c>
      <c r="G18" s="857" t="str">
        <f>IF(G20=0,CONCATENATE("поб.",D18,",",D19),IF(G20=1,D18,IF(G20=2,D20,"Х")))</f>
        <v>поб.,</v>
      </c>
      <c r="H18" s="858"/>
      <c r="I18" s="859"/>
      <c r="J18" s="58"/>
      <c r="K18" s="67"/>
      <c r="L18" s="67"/>
      <c r="M18" s="66"/>
      <c r="N18" s="61"/>
      <c r="O18" s="61"/>
      <c r="P18" s="60"/>
      <c r="Q18" s="61"/>
      <c r="R18" s="61"/>
      <c r="S18" s="62"/>
    </row>
    <row r="19" spans="1:19" s="9" customFormat="1" ht="15" customHeight="1">
      <c r="A19" s="730"/>
      <c r="B19" s="760"/>
      <c r="C19" s="762"/>
      <c r="D19" s="165">
        <f>IF($C18="","",IF(AND($C18&gt;=1,$C18&lt;17),INDEX(ПодгПар!$AL$6:$AL$21,$C18,1),"Х"))</f>
      </c>
      <c r="E19" s="166">
        <f>IF($C18="","",IF(AND($C18&gt;=1,$C18&lt;17),INDEX(ПодгПар!$AJ$6:$AJ$21,$C18,1),""))</f>
      </c>
      <c r="F19" s="167">
        <f>IF($C18="","",IF(AND($C18&gt;=1,$C18&lt;17),INDEX(ПодгПар!$K$6:$K$21,$C18,1),""))</f>
      </c>
      <c r="G19" s="862" t="str">
        <f>IF(G20=0,CONCATENATE(D20,",",D21),IF(G20=1,D19,IF(G20=2,D21,"Х")))</f>
        <v>,</v>
      </c>
      <c r="H19" s="863"/>
      <c r="I19" s="864"/>
      <c r="J19" s="58"/>
      <c r="K19" s="59"/>
      <c r="L19" s="59"/>
      <c r="M19" s="68"/>
      <c r="N19" s="61"/>
      <c r="O19" s="61"/>
      <c r="P19" s="60"/>
      <c r="Q19" s="61"/>
      <c r="R19" s="61"/>
      <c r="S19" s="62"/>
    </row>
    <row r="20" spans="1:19" s="9" customFormat="1" ht="15" customHeight="1">
      <c r="A20" s="729">
        <f>IF($C20="","",IF(AND($C20&gt;=1,$C20&lt;17),INDEX(ПодгПар!$P$6:$P$21,$C20),""))</f>
      </c>
      <c r="B20" s="769">
        <v>4</v>
      </c>
      <c r="C20" s="788"/>
      <c r="D20" s="136">
        <f>IF($C20="","",IF(AND($C20&gt;=1,$C20&lt;17),INDEX(ПодгПар!$AB$6:$AB$21,$C20,1),"Х"))</f>
      </c>
      <c r="E20" s="137">
        <f>IF($C20="","",IF(AND($C20&gt;=1,$C20&lt;17),INDEX(ПодгПар!$W$6:$W$21,$C20,1),""))</f>
      </c>
      <c r="F20" s="138">
        <f>IF($C20="","",IF(AND($C20&gt;=1,$C20&lt;17),INDEX(ПодгПар!$F$6:$F$21,$C20,1),""))</f>
      </c>
      <c r="G20" s="139"/>
      <c r="H20" s="848"/>
      <c r="I20" s="848"/>
      <c r="J20" s="63"/>
      <c r="K20" s="59"/>
      <c r="L20" s="59"/>
      <c r="M20" s="68"/>
      <c r="N20" s="757"/>
      <c r="O20" s="757"/>
      <c r="P20" s="60"/>
      <c r="Q20" s="61"/>
      <c r="R20" s="61"/>
      <c r="S20" s="62"/>
    </row>
    <row r="21" spans="1:19" s="9" customFormat="1" ht="15" customHeight="1" thickBot="1">
      <c r="A21" s="748"/>
      <c r="B21" s="770"/>
      <c r="C21" s="789"/>
      <c r="D21" s="168">
        <f>IF($C20="","",IF(AND($C20&gt;=1,$C20&lt;17),INDEX(ПодгПар!$AL$6:$AL$21,$C20,1),"Х"))</f>
      </c>
      <c r="E21" s="169">
        <f>IF($C20="","",IF(AND($C20&gt;=1,$C20&lt;17),INDEX(ПодгПар!$AJ$6:$AJ$21,$C20,1),""))</f>
      </c>
      <c r="F21" s="170">
        <f>IF($C20="","",IF(AND($C20&gt;=1,$C20&lt;17),INDEX(ПодгПар!$K$6:$K$21,$C20,1),""))</f>
      </c>
      <c r="G21" s="147"/>
      <c r="H21" s="64"/>
      <c r="I21" s="64"/>
      <c r="J21" s="58"/>
      <c r="K21" s="59"/>
      <c r="L21" s="59"/>
      <c r="M21" s="879" t="str">
        <f>IF(M23=0,CONCATENATE("поб.",J15,",",J16),IF(M23=1,J15,IF(M23=2,J27,"Х")))</f>
        <v>поб.поб.поб.МАТВЕЕВА,ХАБАРОВА,,,поб.,,,</v>
      </c>
      <c r="N21" s="757"/>
      <c r="O21" s="757"/>
      <c r="P21" s="60"/>
      <c r="Q21" s="61"/>
      <c r="R21" s="61"/>
      <c r="S21" s="62"/>
    </row>
    <row r="22" spans="1:19" s="9" customFormat="1" ht="15" customHeight="1">
      <c r="A22" s="776"/>
      <c r="B22" s="778"/>
      <c r="C22" s="780"/>
      <c r="D22" s="849"/>
      <c r="E22" s="142"/>
      <c r="F22" s="849"/>
      <c r="G22" s="65"/>
      <c r="H22" s="64"/>
      <c r="I22" s="64"/>
      <c r="J22" s="58"/>
      <c r="K22" s="59"/>
      <c r="L22" s="59"/>
      <c r="M22" s="877" t="str">
        <f>IF(M23=0,CONCATENATE(J27,",",J28),IF(M23=1,J16,IF(M23=2,J28,"Х")))</f>
        <v>поб.поб.,,,,поб.,,,</v>
      </c>
      <c r="N22" s="878"/>
      <c r="O22" s="878"/>
      <c r="P22" s="69"/>
      <c r="Q22" s="61"/>
      <c r="R22" s="61"/>
      <c r="S22" s="62"/>
    </row>
    <row r="23" spans="1:19" s="9" customFormat="1" ht="15" customHeight="1" thickBot="1">
      <c r="A23" s="777"/>
      <c r="B23" s="779"/>
      <c r="C23" s="781"/>
      <c r="D23" s="850"/>
      <c r="E23" s="143"/>
      <c r="F23" s="850"/>
      <c r="G23" s="65"/>
      <c r="H23" s="140"/>
      <c r="I23" s="140"/>
      <c r="J23" s="63"/>
      <c r="K23" s="59"/>
      <c r="L23" s="59"/>
      <c r="M23" s="148"/>
      <c r="N23" s="873"/>
      <c r="O23" s="873"/>
      <c r="P23" s="66"/>
      <c r="Q23" s="61"/>
      <c r="R23" s="61"/>
      <c r="S23" s="62"/>
    </row>
    <row r="24" spans="1:19" s="9" customFormat="1" ht="15" customHeight="1">
      <c r="A24" s="758" t="str">
        <f>IF($C24="","3 или 4",IF(AND($C24&gt;=1,$C24&lt;17),INDEX(ПодгПар!$P$6:$P$21,$C24),""))</f>
        <v>3 или 4</v>
      </c>
      <c r="B24" s="759">
        <v>5</v>
      </c>
      <c r="C24" s="796"/>
      <c r="D24" s="133">
        <f>IF($C24="","",IF(AND($C24&gt;=1,$C24&lt;17),INDEX(ПодгПар!$AB$6:$AB$21,$C24,1),"Х"))</f>
      </c>
      <c r="E24" s="134">
        <f>IF($C24="","",IF(AND($C24&gt;=1,$C24&lt;17),INDEX(ПодгПар!$W$6:$W$21,$C24,1),""))</f>
      </c>
      <c r="F24" s="135">
        <f>IF($C24="","",IF(AND($C24&gt;=1,$C24&lt;17),INDEX(ПодгПар!$F$6:$F$21,$C24,1),""))</f>
      </c>
      <c r="G24" s="857" t="str">
        <f>IF(G26=0,CONCATENATE("поб.",D24,",",D25),IF(G26=1,D24,IF(G26=2,D26,"Х")))</f>
        <v>поб.,</v>
      </c>
      <c r="H24" s="858"/>
      <c r="I24" s="858"/>
      <c r="J24" s="149"/>
      <c r="K24" s="59"/>
      <c r="L24" s="59"/>
      <c r="M24" s="68"/>
      <c r="N24" s="61"/>
      <c r="O24" s="61"/>
      <c r="P24" s="68"/>
      <c r="Q24" s="61"/>
      <c r="R24" s="61"/>
      <c r="S24" s="62"/>
    </row>
    <row r="25" spans="1:19" s="9" customFormat="1" ht="15" customHeight="1">
      <c r="A25" s="730"/>
      <c r="B25" s="760"/>
      <c r="C25" s="797"/>
      <c r="D25" s="165">
        <f>IF($C24="","",IF(AND($C24&gt;=1,$C24&lt;17),INDEX(ПодгПар!$AL$6:$AL$21,$C24,1),"Х"))</f>
      </c>
      <c r="E25" s="166">
        <f>IF($C24="","",IF(AND($C24&gt;=1,$C24&lt;17),INDEX(ПодгПар!$AJ$6:$AJ$21,$C24,1),""))</f>
      </c>
      <c r="F25" s="167">
        <f>IF($C24="","",IF(AND($C24&gt;=1,$C24&lt;17),INDEX(ПодгПар!$K$6:$K$21,$C24,1),""))</f>
      </c>
      <c r="G25" s="862" t="str">
        <f>IF(G26=0,CONCATENATE(D26,",",D27),IF(G26=1,D25,IF(G26=2,D27,"Х")))</f>
        <v>,</v>
      </c>
      <c r="H25" s="863"/>
      <c r="I25" s="863"/>
      <c r="J25" s="58"/>
      <c r="K25" s="67"/>
      <c r="L25" s="67"/>
      <c r="M25" s="66"/>
      <c r="N25" s="61"/>
      <c r="O25" s="61"/>
      <c r="P25" s="68"/>
      <c r="Q25" s="61"/>
      <c r="R25" s="61"/>
      <c r="S25" s="62"/>
    </row>
    <row r="26" spans="1:19" s="9" customFormat="1" ht="15" customHeight="1">
      <c r="A26" s="729">
        <f>IF($C26="","",IF(AND($C26&gt;=1,$C26&lt;17),INDEX(ПодгПар!$P$6:$P$21,$C26),""))</f>
      </c>
      <c r="B26" s="769">
        <v>6</v>
      </c>
      <c r="C26" s="788"/>
      <c r="D26" s="136">
        <f>IF($C26="","",IF(AND($C26&gt;=1,$C26&lt;17),INDEX(ПодгПар!$AB$6:$AB$21,$C26,1),"Х"))</f>
      </c>
      <c r="E26" s="137">
        <f>IF($C26="","",IF(AND($C26&gt;=1,$C26&lt;17),INDEX(ПодгПар!$W$6:$W$21,$C26,1),""))</f>
      </c>
      <c r="F26" s="138">
        <f>IF($C26="","",IF(AND($C26&gt;=1,$C26&lt;17),INDEX(ПодгПар!$F$6:$F$21,$C26,1),""))</f>
      </c>
      <c r="G26" s="139"/>
      <c r="H26" s="848"/>
      <c r="I26" s="856"/>
      <c r="J26" s="63"/>
      <c r="K26" s="67"/>
      <c r="L26" s="67"/>
      <c r="M26" s="66"/>
      <c r="N26" s="61"/>
      <c r="O26" s="61"/>
      <c r="P26" s="68"/>
      <c r="Q26" s="61"/>
      <c r="R26" s="61"/>
      <c r="S26" s="62"/>
    </row>
    <row r="27" spans="1:19" s="9" customFormat="1" ht="15" customHeight="1" thickBot="1">
      <c r="A27" s="748"/>
      <c r="B27" s="770"/>
      <c r="C27" s="789"/>
      <c r="D27" s="168">
        <f>IF($C26="","",IF(AND($C26&gt;=1,$C26&lt;17),INDEX(ПодгПар!$AL$6:$AL$21,$C26,1),"Х"))</f>
      </c>
      <c r="E27" s="169">
        <f>IF($C26="","",IF(AND($C26&gt;=1,$C26&lt;17),INDEX(ПодгПар!$AJ$6:$AJ$21,$C26,1),""))</f>
      </c>
      <c r="F27" s="170">
        <f>IF($C26="","",IF(AND($C26&gt;=1,$C26&lt;17),INDEX(ПодгПар!$K$6:$K$21,$C26,1),""))</f>
      </c>
      <c r="G27" s="116"/>
      <c r="H27" s="140"/>
      <c r="I27" s="141"/>
      <c r="J27" s="860" t="str">
        <f>IF(J29=0,CONCATENATE("поб.",G24,",",G25),IF(J29=1,G24,IF(J29=2,G30,"Х")))</f>
        <v>поб.поб.,,,</v>
      </c>
      <c r="K27" s="861"/>
      <c r="L27" s="861"/>
      <c r="M27" s="70"/>
      <c r="N27" s="61"/>
      <c r="O27" s="61"/>
      <c r="P27" s="68"/>
      <c r="Q27" s="61"/>
      <c r="R27" s="61"/>
      <c r="S27" s="62"/>
    </row>
    <row r="28" spans="1:19" s="9" customFormat="1" ht="15" customHeight="1">
      <c r="A28" s="776"/>
      <c r="B28" s="778"/>
      <c r="C28" s="780"/>
      <c r="D28" s="849"/>
      <c r="E28" s="142"/>
      <c r="F28" s="849"/>
      <c r="G28" s="65"/>
      <c r="H28" s="140"/>
      <c r="I28" s="141"/>
      <c r="J28" s="875" t="str">
        <f>IF(J29=0,CONCATENATE(G30,",",G31),IF(J29=1,G25,IF(J29=2,G31,"Х")))</f>
        <v>поб.,,,</v>
      </c>
      <c r="K28" s="876"/>
      <c r="L28" s="876"/>
      <c r="M28" s="70"/>
      <c r="N28" s="61"/>
      <c r="O28" s="61"/>
      <c r="P28" s="68"/>
      <c r="Q28" s="61"/>
      <c r="R28" s="61"/>
      <c r="S28" s="62"/>
    </row>
    <row r="29" spans="1:19" s="9" customFormat="1" ht="15" customHeight="1" thickBot="1">
      <c r="A29" s="777"/>
      <c r="B29" s="779"/>
      <c r="C29" s="781"/>
      <c r="D29" s="850"/>
      <c r="E29" s="143"/>
      <c r="F29" s="850"/>
      <c r="G29" s="65"/>
      <c r="H29" s="64"/>
      <c r="I29" s="144"/>
      <c r="J29" s="145"/>
      <c r="K29" s="872"/>
      <c r="L29" s="872"/>
      <c r="M29" s="71"/>
      <c r="N29" s="61"/>
      <c r="O29" s="61"/>
      <c r="P29" s="68"/>
      <c r="Q29" s="67"/>
      <c r="R29" s="67"/>
      <c r="S29" s="62"/>
    </row>
    <row r="30" spans="1:19" s="9" customFormat="1" ht="15" customHeight="1">
      <c r="A30" s="758">
        <f>IF($C30="","",IF(AND($C30&gt;=1,$C30&lt;17),INDEX(ПодгПар!$P$6:$P$21,$C30),""))</f>
      </c>
      <c r="B30" s="759">
        <v>7</v>
      </c>
      <c r="C30" s="761"/>
      <c r="D30" s="133">
        <f>IF($C30="","",IF(AND($C30&gt;=1,$C30&lt;17),INDEX(ПодгПар!$AB$6:$AB$21,$C30,1),"Х"))</f>
      </c>
      <c r="E30" s="134">
        <f>IF($C30="","",IF(AND($C30&gt;=1,$C30&lt;17),INDEX(ПодгПар!$W$6:$W$21,$C30,1),""))</f>
      </c>
      <c r="F30" s="135">
        <f>IF($C30="","",IF(AND($C30&gt;=1,$C30&lt;17),INDEX(ПодгПар!$F$6:$F$21,$C30,1),""))</f>
      </c>
      <c r="G30" s="857" t="str">
        <f>IF(G32=0,CONCATENATE("поб.",D30,",",D31),IF(G32=1,D30,IF(G32=2,D32,"Х")))</f>
        <v>поб.,</v>
      </c>
      <c r="H30" s="858"/>
      <c r="I30" s="859"/>
      <c r="J30" s="58"/>
      <c r="K30" s="59"/>
      <c r="L30" s="59"/>
      <c r="M30" s="60"/>
      <c r="N30" s="61"/>
      <c r="O30" s="61"/>
      <c r="P30" s="68"/>
      <c r="Q30" s="67"/>
      <c r="R30" s="67"/>
      <c r="S30" s="62"/>
    </row>
    <row r="31" spans="1:19" s="9" customFormat="1" ht="15" customHeight="1">
      <c r="A31" s="730"/>
      <c r="B31" s="760"/>
      <c r="C31" s="762"/>
      <c r="D31" s="165">
        <f>IF($C30="","",IF(AND($C30&gt;=1,$C30&lt;17),INDEX(ПодгПар!$AL$6:$AL$21,$C30,1),"Х"))</f>
      </c>
      <c r="E31" s="166">
        <f>IF($C30="","",IF(AND($C30&gt;=1,$C30&lt;17),INDEX(ПодгПар!$AJ$6:$AJ$21,$C30,1),""))</f>
      </c>
      <c r="F31" s="167">
        <f>IF($C30="","",IF(AND($C30&gt;=1,$C30&lt;17),INDEX(ПодгПар!$K$6:$K$21,$C30,1),""))</f>
      </c>
      <c r="G31" s="862" t="str">
        <f>IF(G32=0,CONCATENATE(D32,",",D33),IF(G32=1,D31,IF(G32=2,D33,"Х")))</f>
        <v>,</v>
      </c>
      <c r="H31" s="863"/>
      <c r="I31" s="864"/>
      <c r="J31" s="58"/>
      <c r="K31" s="59"/>
      <c r="L31" s="59"/>
      <c r="M31" s="60"/>
      <c r="N31" s="61"/>
      <c r="O31" s="61"/>
      <c r="P31" s="68"/>
      <c r="Q31" s="61"/>
      <c r="R31" s="61"/>
      <c r="S31" s="62"/>
    </row>
    <row r="32" spans="1:19" s="9" customFormat="1" ht="15" customHeight="1">
      <c r="A32" s="729">
        <f>IF($C32="","",IF(AND($C32&gt;=1,$C32&lt;17),INDEX(ПодгПар!$P$6:$P$21,$C32),""))</f>
      </c>
      <c r="B32" s="769">
        <v>8</v>
      </c>
      <c r="C32" s="788"/>
      <c r="D32" s="136">
        <f>IF($C32="","",IF(AND($C32&gt;=1,$C32&lt;17),INDEX(ПодгПар!$AB$6:$AB$21,$C32,1),"Х"))</f>
      </c>
      <c r="E32" s="137">
        <f>IF($C32="","",IF(AND($C32&gt;=1,$C32&lt;17),INDEX(ПодгПар!$W$6:$W$21,$C32,1),""))</f>
      </c>
      <c r="F32" s="138">
        <f>IF($C32="","",IF(AND($C32&gt;=1,$C32&lt;17),INDEX(ПодгПар!$F$6:$F$21,$C32,1),""))</f>
      </c>
      <c r="G32" s="139"/>
      <c r="H32" s="848"/>
      <c r="I32" s="848"/>
      <c r="J32" s="63"/>
      <c r="K32" s="59"/>
      <c r="L32" s="59"/>
      <c r="M32" s="60"/>
      <c r="N32" s="61"/>
      <c r="O32" s="61"/>
      <c r="P32" s="68"/>
      <c r="Q32" s="61"/>
      <c r="R32" s="61"/>
      <c r="S32" s="62"/>
    </row>
    <row r="33" spans="1:19" s="9" customFormat="1" ht="15" customHeight="1" thickBot="1">
      <c r="A33" s="748"/>
      <c r="B33" s="770"/>
      <c r="C33" s="789"/>
      <c r="D33" s="168">
        <f>IF($C32="","",IF(AND($C32&gt;=1,$C32&lt;17),INDEX(ПодгПар!$AL$6:$AL$21,$C32,1),"Х"))</f>
      </c>
      <c r="E33" s="169">
        <f>IF($C32="","",IF(AND($C32&gt;=1,$C32&lt;17),INDEX(ПодгПар!$AJ$6:$AJ$21,$C32,1),""))</f>
      </c>
      <c r="F33" s="170">
        <f>IF($C32="","",IF(AND($C32&gt;=1,$C32&lt;17),INDEX(ПодгПар!$K$6:$K$21,$C32,1),""))</f>
      </c>
      <c r="G33" s="147"/>
      <c r="H33" s="64"/>
      <c r="I33" s="64"/>
      <c r="J33" s="58"/>
      <c r="K33" s="67"/>
      <c r="L33" s="67"/>
      <c r="M33" s="71"/>
      <c r="N33" s="61"/>
      <c r="O33" s="61"/>
      <c r="P33" s="879">
        <f>IF(P35=0,"",IF(P35=1,M21,IF(P35=2,M45,"Х")))</f>
      </c>
      <c r="Q33" s="757"/>
      <c r="R33" s="757"/>
      <c r="S33" s="62"/>
    </row>
    <row r="34" spans="1:19" s="9" customFormat="1" ht="15" customHeight="1">
      <c r="A34" s="776"/>
      <c r="B34" s="778"/>
      <c r="C34" s="780"/>
      <c r="D34" s="849"/>
      <c r="E34" s="142"/>
      <c r="F34" s="849"/>
      <c r="G34" s="65"/>
      <c r="H34" s="64"/>
      <c r="I34" s="64"/>
      <c r="J34" s="58"/>
      <c r="K34" s="67"/>
      <c r="L34" s="67"/>
      <c r="M34" s="71"/>
      <c r="N34" s="61"/>
      <c r="O34" s="61"/>
      <c r="P34" s="852">
        <f>IF(P35=0,"",IF(P35=1,M22,IF(P35=2,M46,"Х")))</f>
      </c>
      <c r="Q34" s="853"/>
      <c r="R34" s="853"/>
      <c r="S34" s="62"/>
    </row>
    <row r="35" spans="1:19" s="9" customFormat="1" ht="15" customHeight="1" thickBot="1">
      <c r="A35" s="777"/>
      <c r="B35" s="779"/>
      <c r="C35" s="781"/>
      <c r="D35" s="850"/>
      <c r="E35" s="143"/>
      <c r="F35" s="850"/>
      <c r="G35" s="65"/>
      <c r="H35" s="140"/>
      <c r="I35" s="140"/>
      <c r="J35" s="63"/>
      <c r="K35" s="59"/>
      <c r="L35" s="59"/>
      <c r="M35" s="60"/>
      <c r="N35" s="61"/>
      <c r="O35" s="61"/>
      <c r="P35" s="148"/>
      <c r="Q35" s="873"/>
      <c r="R35" s="873"/>
      <c r="S35" s="62"/>
    </row>
    <row r="36" spans="1:19" s="9" customFormat="1" ht="15" customHeight="1">
      <c r="A36" s="758">
        <f>IF($C36="","",IF(AND($C36&gt;=1,$C36&lt;17),INDEX(ПодгПар!$P$6:$P$21,$C36),""))</f>
      </c>
      <c r="B36" s="759">
        <v>9</v>
      </c>
      <c r="C36" s="761"/>
      <c r="D36" s="133">
        <f>IF($C36="","",IF(AND($C36&gt;=1,$C36&lt;17),INDEX(ПодгПар!$AB$6:$AB$21,$C36,1),"Х"))</f>
      </c>
      <c r="E36" s="134">
        <f>IF($C36="","",IF(AND($C36&gt;=1,$C36&lt;17),INDEX(ПодгПар!$W$6:$W$21,$C36,1),""))</f>
      </c>
      <c r="F36" s="146">
        <f>IF($C36="","",IF(AND($C36&gt;=1,$C36&lt;17),INDEX(ПодгПар!$F$6:$F$21,$C36,1),""))</f>
      </c>
      <c r="G36" s="857" t="str">
        <f>IF(G38=0,CONCATENATE("поб.",D36,",",D37),IF(G38=1,D36,IF(G38=2,D38,"Х")))</f>
        <v>поб.,</v>
      </c>
      <c r="H36" s="858"/>
      <c r="I36" s="858"/>
      <c r="J36" s="149"/>
      <c r="K36" s="59"/>
      <c r="L36" s="59"/>
      <c r="M36" s="60"/>
      <c r="N36" s="61"/>
      <c r="O36" s="61"/>
      <c r="P36" s="68"/>
      <c r="Q36" s="61"/>
      <c r="R36" s="61"/>
      <c r="S36" s="62"/>
    </row>
    <row r="37" spans="1:19" s="9" customFormat="1" ht="15" customHeight="1">
      <c r="A37" s="730"/>
      <c r="B37" s="760"/>
      <c r="C37" s="762"/>
      <c r="D37" s="165">
        <f>IF($C36="","",IF(AND($C36&gt;=1,$C36&lt;17),INDEX(ПодгПар!$AL$6:$AL$21,$C36,1),"Х"))</f>
      </c>
      <c r="E37" s="166">
        <f>IF($C36="","",IF(AND($C36&gt;=1,$C36&lt;17),INDEX(ПодгПар!$AJ$6:$AJ$21,$C36,1),""))</f>
      </c>
      <c r="F37" s="177">
        <f>IF($C36="","",IF(AND($C36&gt;=1,$C36&lt;17),INDEX(ПодгПар!$K$6:$K$21,$C36,1),""))</f>
      </c>
      <c r="G37" s="862" t="str">
        <f>IF(G38=0,CONCATENATE(D38,",",D39),IF(G38=1,D37,IF(G38=2,D39,"Х")))</f>
        <v>,</v>
      </c>
      <c r="H37" s="863"/>
      <c r="I37" s="863"/>
      <c r="J37" s="58"/>
      <c r="K37" s="59"/>
      <c r="L37" s="59"/>
      <c r="M37" s="60"/>
      <c r="N37" s="67"/>
      <c r="O37" s="67"/>
      <c r="P37" s="66"/>
      <c r="Q37" s="61"/>
      <c r="R37" s="61"/>
      <c r="S37" s="62"/>
    </row>
    <row r="38" spans="1:19" s="9" customFormat="1" ht="15" customHeight="1">
      <c r="A38" s="729">
        <f>IF($C38="","",IF(AND($C38&gt;=1,$C38&lt;17),INDEX(ПодгПар!$P$6:$P$21,$C38),""))</f>
      </c>
      <c r="B38" s="769">
        <v>10</v>
      </c>
      <c r="C38" s="788"/>
      <c r="D38" s="136">
        <f>IF($C38="","",IF(AND($C38&gt;=1,$C38&lt;17),INDEX(ПодгПар!$AB$6:$AB$21,$C38,1),"Х"))</f>
      </c>
      <c r="E38" s="137">
        <f>IF($C38="","",IF(AND($C38&gt;=1,$C38&lt;17),INDEX(ПодгПар!$W$6:$W$21,$C38,1),""))</f>
      </c>
      <c r="F38" s="138">
        <f>IF($C38="","",IF(AND($C38&gt;=1,$C38&lt;17),INDEX(ПодгПар!$F$6:$F$21,$C38,1),""))</f>
      </c>
      <c r="G38" s="139"/>
      <c r="H38" s="848"/>
      <c r="I38" s="856"/>
      <c r="J38" s="63"/>
      <c r="K38" s="59"/>
      <c r="L38" s="59"/>
      <c r="M38" s="60"/>
      <c r="N38" s="67"/>
      <c r="O38" s="67"/>
      <c r="P38" s="66"/>
      <c r="Q38" s="61"/>
      <c r="R38" s="61"/>
      <c r="S38" s="62"/>
    </row>
    <row r="39" spans="1:19" s="9" customFormat="1" ht="15" customHeight="1" thickBot="1">
      <c r="A39" s="748"/>
      <c r="B39" s="770"/>
      <c r="C39" s="789"/>
      <c r="D39" s="168">
        <f>IF($C38="","",IF(AND($C38&gt;=1,$C38&lt;17),INDEX(ПодгПар!$AL$6:$AL$21,$C38,1),"Х"))</f>
      </c>
      <c r="E39" s="169">
        <f>IF($C38="","",IF(AND($C38&gt;=1,$C38&lt;17),INDEX(ПодгПар!$AJ$6:$AJ$21,$C38,1),""))</f>
      </c>
      <c r="F39" s="170">
        <f>IF($C38="","",IF(AND($C38&gt;=1,$C38&lt;17),INDEX(ПодгПар!$K$6:$K$21,$C38,1),""))</f>
      </c>
      <c r="G39" s="116"/>
      <c r="H39" s="140"/>
      <c r="I39" s="141"/>
      <c r="J39" s="860" t="str">
        <f>IF(J41=0,CONCATENATE("поб.",G36,",",G37),IF(J41=1,G36,IF(J41=2,G42,"Х")))</f>
        <v>поб.поб.,,,</v>
      </c>
      <c r="K39" s="861"/>
      <c r="L39" s="861"/>
      <c r="M39" s="63"/>
      <c r="N39" s="61"/>
      <c r="O39" s="61"/>
      <c r="P39" s="68"/>
      <c r="Q39" s="61"/>
      <c r="R39" s="61"/>
      <c r="S39" s="62"/>
    </row>
    <row r="40" spans="1:19" s="9" customFormat="1" ht="15" customHeight="1">
      <c r="A40" s="776"/>
      <c r="B40" s="778"/>
      <c r="C40" s="780"/>
      <c r="D40" s="849"/>
      <c r="E40" s="142"/>
      <c r="F40" s="849"/>
      <c r="G40" s="65"/>
      <c r="H40" s="140"/>
      <c r="I40" s="141"/>
      <c r="J40" s="875" t="str">
        <f>IF(J41=0,CONCATENATE(G42,",",G43),IF(J41=1,G37,IF(J41=2,G43,"Х")))</f>
        <v>поб.,,,</v>
      </c>
      <c r="K40" s="876"/>
      <c r="L40" s="876"/>
      <c r="M40" s="63"/>
      <c r="N40" s="61"/>
      <c r="O40" s="61"/>
      <c r="P40" s="68"/>
      <c r="Q40" s="61"/>
      <c r="R40" s="61"/>
      <c r="S40" s="62"/>
    </row>
    <row r="41" spans="1:19" s="9" customFormat="1" ht="15" customHeight="1" thickBot="1">
      <c r="A41" s="777"/>
      <c r="B41" s="779"/>
      <c r="C41" s="781"/>
      <c r="D41" s="850"/>
      <c r="E41" s="143"/>
      <c r="F41" s="850"/>
      <c r="G41" s="65"/>
      <c r="H41" s="64"/>
      <c r="I41" s="144"/>
      <c r="J41" s="145"/>
      <c r="K41" s="873"/>
      <c r="L41" s="873"/>
      <c r="M41" s="66"/>
      <c r="N41" s="61"/>
      <c r="O41" s="61"/>
      <c r="P41" s="68"/>
      <c r="Q41" s="61"/>
      <c r="R41" s="61"/>
      <c r="S41" s="62"/>
    </row>
    <row r="42" spans="1:19" s="9" customFormat="1" ht="15" customHeight="1">
      <c r="A42" s="758">
        <f>IF($C42="","",IF(AND($C42&gt;=1,$C42&lt;17),INDEX(ПодгПар!$P$6:$P$21,$C42),""))</f>
      </c>
      <c r="B42" s="759">
        <v>11</v>
      </c>
      <c r="C42" s="761"/>
      <c r="D42" s="133">
        <f>IF($C42="","",IF(AND($C42&gt;=1,$C42&lt;17),INDEX(ПодгПар!$AB$6:$AB$21,$C42,1),"Х"))</f>
      </c>
      <c r="E42" s="134">
        <f>IF($C42="","",IF(AND($C42&gt;=1,$C42&lt;17),INDEX(ПодгПар!$W$6:$W$21,$C42,1),""))</f>
      </c>
      <c r="F42" s="135">
        <f>IF($C42="","",IF(AND($C42&gt;=1,$C42&lt;17),INDEX(ПодгПар!$F$6:$F$21,$C42,1),""))</f>
      </c>
      <c r="G42" s="857" t="str">
        <f>IF(G44=0,CONCATENATE("поб.",D42,",",D43),IF(G44=1,D42,IF(G44=2,D44,"Х")))</f>
        <v>поб.,</v>
      </c>
      <c r="H42" s="858"/>
      <c r="I42" s="859"/>
      <c r="J42" s="58"/>
      <c r="K42" s="67"/>
      <c r="L42" s="67"/>
      <c r="M42" s="66"/>
      <c r="N42" s="61"/>
      <c r="O42" s="61"/>
      <c r="P42" s="68"/>
      <c r="Q42" s="61"/>
      <c r="R42" s="61"/>
      <c r="S42" s="62"/>
    </row>
    <row r="43" spans="1:19" s="9" customFormat="1" ht="15" customHeight="1">
      <c r="A43" s="730"/>
      <c r="B43" s="760"/>
      <c r="C43" s="762"/>
      <c r="D43" s="165">
        <f>IF($C42="","",IF(AND($C42&gt;=1,$C42&lt;17),INDEX(ПодгПар!$AL$6:$AL$21,$C42,1),"Х"))</f>
      </c>
      <c r="E43" s="166">
        <f>IF($C42="","",IF(AND($C42&gt;=1,$C42&lt;17),INDEX(ПодгПар!$AJ$6:$AJ$21,$C42,1),""))</f>
      </c>
      <c r="F43" s="167">
        <f>IF($C42="","",IF(AND($C42&gt;=1,$C42&lt;17),INDEX(ПодгПар!$K$6:$K$21,$C42,1),""))</f>
      </c>
      <c r="G43" s="862" t="str">
        <f>IF(G44=0,CONCATENATE(D44,",",D45),IF(G44=1,D43,IF(G44=2,D45,"Х")))</f>
        <v>,</v>
      </c>
      <c r="H43" s="863"/>
      <c r="I43" s="864"/>
      <c r="J43" s="58"/>
      <c r="K43" s="59"/>
      <c r="L43" s="59"/>
      <c r="M43" s="68"/>
      <c r="N43" s="61"/>
      <c r="O43" s="61"/>
      <c r="P43" s="68"/>
      <c r="Q43" s="61"/>
      <c r="R43" s="61"/>
      <c r="S43" s="72"/>
    </row>
    <row r="44" spans="1:19" s="9" customFormat="1" ht="15" customHeight="1">
      <c r="A44" s="729" t="str">
        <f>IF($C44="","3 или 4",IF(AND($C44&gt;=1,$C44&lt;17),INDEX(ПодгПар!$P$6:$P$21,$C44),""))</f>
        <v>3 или 4</v>
      </c>
      <c r="B44" s="769">
        <v>12</v>
      </c>
      <c r="C44" s="771"/>
      <c r="D44" s="136">
        <f>IF($C44="","",IF(AND($C44&gt;=1,$C44&lt;17),INDEX(ПодгПар!$AB$6:$AB$21,$C44,1),"Х"))</f>
      </c>
      <c r="E44" s="137">
        <f>IF($C44="","",IF(AND($C44&gt;=1,$C44&lt;17),INDEX(ПодгПар!$W$6:$W$21,$C44,1),""))</f>
      </c>
      <c r="F44" s="138">
        <f>IF($C44="","",IF(AND($C44&gt;=1,$C44&lt;17),INDEX(ПодгПар!$F$6:$F$21,$C44,1),""))</f>
      </c>
      <c r="G44" s="139"/>
      <c r="H44" s="848"/>
      <c r="I44" s="848"/>
      <c r="J44" s="63"/>
      <c r="K44" s="59"/>
      <c r="L44" s="59"/>
      <c r="M44" s="68"/>
      <c r="N44" s="61"/>
      <c r="O44" s="61"/>
      <c r="P44" s="68"/>
      <c r="Q44" s="61"/>
      <c r="R44" s="61"/>
      <c r="S44" s="73"/>
    </row>
    <row r="45" spans="1:19" s="9" customFormat="1" ht="15" customHeight="1" thickBot="1">
      <c r="A45" s="748"/>
      <c r="B45" s="770"/>
      <c r="C45" s="772"/>
      <c r="D45" s="168">
        <f>IF($C44="","",IF(AND($C44&gt;=1,$C44&lt;17),INDEX(ПодгПар!$AL$6:$AL$21,$C44,1),"Х"))</f>
      </c>
      <c r="E45" s="169">
        <f>IF($C44="","",IF(AND($C44&gt;=1,$C44&lt;17),INDEX(ПодгПар!$AJ$6:$AJ$21,$C44,1),""))</f>
      </c>
      <c r="F45" s="170">
        <f>IF($C44="","",IF(AND($C44&gt;=1,$C44&lt;17),INDEX(ПодгПар!$K$6:$K$21,$C44,1),""))</f>
      </c>
      <c r="G45" s="147"/>
      <c r="H45" s="64"/>
      <c r="I45" s="64"/>
      <c r="J45" s="58"/>
      <c r="K45" s="59"/>
      <c r="L45" s="59"/>
      <c r="M45" s="879" t="str">
        <f>IF(M47=0,CONCATENATE("поб.",J39,",",J40),IF(M47=1,J39,IF(M47=2,J51,"Х")))</f>
        <v>поб.поб.поб.,,,,поб.,,,</v>
      </c>
      <c r="N45" s="757"/>
      <c r="O45" s="757"/>
      <c r="P45" s="68"/>
      <c r="Q45" s="61"/>
      <c r="R45" s="61"/>
      <c r="S45" s="73"/>
    </row>
    <row r="46" spans="1:19" s="9" customFormat="1" ht="15" customHeight="1">
      <c r="A46" s="776"/>
      <c r="B46" s="778"/>
      <c r="C46" s="780"/>
      <c r="D46" s="849"/>
      <c r="E46" s="142"/>
      <c r="F46" s="849"/>
      <c r="G46" s="65"/>
      <c r="H46" s="64"/>
      <c r="I46" s="64"/>
      <c r="J46" s="58"/>
      <c r="K46" s="59"/>
      <c r="L46" s="59"/>
      <c r="M46" s="877" t="str">
        <f>IF(M47=0,CONCATENATE(J51,",",J52),IF(M47=1,J40,IF(M47=2,J52,"Х")))</f>
        <v>поб.поб.,,,,поб.,,ПАНЬКОВА,ТАРАНОВА</v>
      </c>
      <c r="N46" s="878"/>
      <c r="O46" s="878"/>
      <c r="P46" s="68"/>
      <c r="Q46" s="67"/>
      <c r="R46" s="67"/>
      <c r="S46" s="73"/>
    </row>
    <row r="47" spans="1:19" s="9" customFormat="1" ht="15" customHeight="1" thickBot="1">
      <c r="A47" s="777"/>
      <c r="B47" s="779"/>
      <c r="C47" s="781"/>
      <c r="D47" s="850"/>
      <c r="E47" s="143"/>
      <c r="F47" s="850"/>
      <c r="G47" s="65"/>
      <c r="H47" s="140"/>
      <c r="I47" s="140"/>
      <c r="J47" s="63"/>
      <c r="K47" s="59"/>
      <c r="L47" s="59"/>
      <c r="M47" s="148"/>
      <c r="N47" s="873"/>
      <c r="O47" s="873"/>
      <c r="P47" s="71"/>
      <c r="Q47" s="67"/>
      <c r="R47" s="67"/>
      <c r="S47" s="72"/>
    </row>
    <row r="48" spans="1:19" s="9" customFormat="1" ht="15" customHeight="1">
      <c r="A48" s="758">
        <f>IF($C48="","",IF(AND($C48&gt;=1,$C48&lt;17),INDEX(ПодгПар!$P$6:$P$21,$C48),""))</f>
      </c>
      <c r="B48" s="759">
        <v>13</v>
      </c>
      <c r="C48" s="761"/>
      <c r="D48" s="133">
        <f>IF($C48="","",IF(AND($C48&gt;=1,$C48&lt;17),INDEX(ПодгПар!$AB$6:$AB$21,$C48,1),"Х"))</f>
      </c>
      <c r="E48" s="134">
        <f>IF($C48="","",IF(AND($C48&gt;=1,$C48&lt;17),INDEX(ПодгПар!$W$6:$W$21,$C48,1),""))</f>
      </c>
      <c r="F48" s="135">
        <f>IF($C48="","",IF(AND($C48&gt;=1,$C48&lt;17),INDEX(ПодгПар!$F$6:$F$21,$C48,1),""))</f>
      </c>
      <c r="G48" s="857" t="str">
        <f>IF(G50=0,CONCATENATE("поб.",D48,",",D49),IF(G50=1,D48,IF(G50=2,D50,"Х")))</f>
        <v>поб.,</v>
      </c>
      <c r="H48" s="858"/>
      <c r="I48" s="858"/>
      <c r="J48" s="149"/>
      <c r="K48" s="59"/>
      <c r="L48" s="59"/>
      <c r="M48" s="68"/>
      <c r="N48" s="61"/>
      <c r="O48" s="61"/>
      <c r="P48" s="60"/>
      <c r="Q48" s="61"/>
      <c r="R48" s="61"/>
      <c r="S48" s="62"/>
    </row>
    <row r="49" spans="1:19" s="9" customFormat="1" ht="15" customHeight="1">
      <c r="A49" s="730"/>
      <c r="B49" s="760"/>
      <c r="C49" s="762"/>
      <c r="D49" s="165">
        <f>IF($C48="","",IF(AND($C48&gt;=1,$C48&lt;17),INDEX(ПодгПар!$AL$6:$AL$21,$C48,1),"Х"))</f>
      </c>
      <c r="E49" s="166">
        <f>IF($C48="","",IF(AND($C48&gt;=1,$C48&lt;17),INDEX(ПодгПар!$AJ$6:$AJ$21,$C48,1),""))</f>
      </c>
      <c r="F49" s="167">
        <f>IF($C48="","",IF(AND($C48&gt;=1,$C48&lt;17),INDEX(ПодгПар!$K$6:$K$21,$C48,1),""))</f>
      </c>
      <c r="G49" s="862" t="str">
        <f>IF(G50=0,CONCATENATE(D50,",",D51),IF(G50=1,D49,IF(G50=2,D51,"Х")))</f>
        <v>,</v>
      </c>
      <c r="H49" s="863"/>
      <c r="I49" s="863"/>
      <c r="J49" s="58"/>
      <c r="K49" s="67"/>
      <c r="L49" s="67"/>
      <c r="M49" s="66"/>
      <c r="N49" s="61"/>
      <c r="O49" s="61"/>
      <c r="P49" s="60"/>
      <c r="Q49" s="61"/>
      <c r="R49" s="61"/>
      <c r="S49" s="62"/>
    </row>
    <row r="50" spans="1:19" s="9" customFormat="1" ht="15" customHeight="1">
      <c r="A50" s="729">
        <f>IF($C50="","",IF(AND($C50&gt;=1,$C50&lt;17),INDEX(ПодгПар!$P$6:$P$21,$C50),""))</f>
      </c>
      <c r="B50" s="769">
        <v>14</v>
      </c>
      <c r="C50" s="788"/>
      <c r="D50" s="136">
        <f>IF($C50="","",IF(AND($C50&gt;=1,$C50&lt;17),INDEX(ПодгПар!$AB$6:$AB$21,$C50,1),"Х"))</f>
      </c>
      <c r="E50" s="137">
        <f>IF($C50="","",IF(AND($C50&gt;=1,$C50&lt;17),INDEX(ПодгПар!$W$6:$W$21,$C50,1),""))</f>
      </c>
      <c r="F50" s="138">
        <f>IF($C50="","",IF(AND($C50&gt;=1,$C50&lt;17),INDEX(ПодгПар!$F$6:$F$21,$C50,1),""))</f>
      </c>
      <c r="G50" s="139"/>
      <c r="H50" s="848"/>
      <c r="I50" s="856"/>
      <c r="J50" s="63"/>
      <c r="K50" s="67"/>
      <c r="L50" s="67"/>
      <c r="M50" s="66"/>
      <c r="N50" s="61"/>
      <c r="O50" s="61"/>
      <c r="P50" s="60"/>
      <c r="Q50" s="61"/>
      <c r="R50" s="61"/>
      <c r="S50" s="62"/>
    </row>
    <row r="51" spans="1:19" s="9" customFormat="1" ht="15" customHeight="1" thickBot="1">
      <c r="A51" s="748"/>
      <c r="B51" s="770"/>
      <c r="C51" s="789"/>
      <c r="D51" s="168">
        <f>IF($C50="","",IF(AND($C50&gt;=1,$C50&lt;17),INDEX(ПодгПар!$AL$6:$AL$21,$C50,1),"Х"))</f>
      </c>
      <c r="E51" s="169">
        <f>IF($C50="","",IF(AND($C50&gt;=1,$C50&lt;17),INDEX(ПодгПар!$AJ$6:$AJ$21,$C50,1),""))</f>
      </c>
      <c r="F51" s="170">
        <f>IF($C50="","",IF(AND($C50&gt;=1,$C50&lt;17),INDEX(ПодгПар!$K$6:$K$21,$C50,1),""))</f>
      </c>
      <c r="G51" s="116"/>
      <c r="H51" s="140"/>
      <c r="I51" s="141"/>
      <c r="J51" s="860" t="str">
        <f>IF(J53=0,CONCATENATE("поб.",G48,",",G49),IF(J53=1,G48,IF(J53=2,G54,"Х")))</f>
        <v>поб.поб.,,,</v>
      </c>
      <c r="K51" s="861"/>
      <c r="L51" s="861"/>
      <c r="M51" s="70"/>
      <c r="N51" s="61"/>
      <c r="O51" s="61"/>
      <c r="P51" s="60"/>
      <c r="Q51" s="61"/>
      <c r="R51" s="61"/>
      <c r="S51" s="62"/>
    </row>
    <row r="52" spans="1:19" s="9" customFormat="1" ht="15" customHeight="1">
      <c r="A52" s="776"/>
      <c r="B52" s="778"/>
      <c r="C52" s="780"/>
      <c r="D52" s="849"/>
      <c r="E52" s="142"/>
      <c r="F52" s="849"/>
      <c r="G52" s="65"/>
      <c r="H52" s="140"/>
      <c r="I52" s="141"/>
      <c r="J52" s="875" t="str">
        <f>IF(J53=0,CONCATENATE(G54,",",G55),IF(J53=1,G49,IF(J53=2,G55,"Х")))</f>
        <v>поб.,,ПАНЬКОВА,ТАРАНОВА</v>
      </c>
      <c r="K52" s="876"/>
      <c r="L52" s="876"/>
      <c r="M52" s="70"/>
      <c r="N52" s="61"/>
      <c r="O52" s="61"/>
      <c r="P52" s="60"/>
      <c r="Q52" s="61"/>
      <c r="R52" s="61"/>
      <c r="S52" s="62"/>
    </row>
    <row r="53" spans="1:19" s="9" customFormat="1" ht="15" customHeight="1" thickBot="1">
      <c r="A53" s="777"/>
      <c r="B53" s="779"/>
      <c r="C53" s="781"/>
      <c r="D53" s="850"/>
      <c r="E53" s="143"/>
      <c r="F53" s="850"/>
      <c r="G53" s="65"/>
      <c r="H53" s="64"/>
      <c r="I53" s="144"/>
      <c r="J53" s="145"/>
      <c r="K53" s="872"/>
      <c r="L53" s="872"/>
      <c r="M53" s="71"/>
      <c r="N53" s="67"/>
      <c r="O53" s="67"/>
      <c r="P53" s="71"/>
      <c r="Q53" s="61"/>
      <c r="R53" s="61"/>
      <c r="S53" s="62"/>
    </row>
    <row r="54" spans="1:19" s="9" customFormat="1" ht="15" customHeight="1">
      <c r="A54" s="758">
        <f>IF($C54="","",IF(AND($C54&gt;=1,$C54&lt;17),INDEX(ПодгПар!$P$6:$P$21,$C54),""))</f>
      </c>
      <c r="B54" s="759">
        <v>15</v>
      </c>
      <c r="C54" s="761"/>
      <c r="D54" s="133">
        <f>IF($C54="","",IF(AND($C54&gt;=1,$C54&lt;17),INDEX(ПодгПар!$AB$6:$AB$21,$C54,1),"Х"))</f>
      </c>
      <c r="E54" s="134">
        <f>IF($C54="","",IF(AND($C54&gt;=1,$C54&lt;17),INDEX(ПодгПар!$W$6:$W$21,$C54,1),""))</f>
      </c>
      <c r="F54" s="135">
        <f>IF($C54="","",IF(AND($C54&gt;=1,$C54&lt;17),INDEX(ПодгПар!$F$6:$F$21,$C54,1),""))</f>
      </c>
      <c r="G54" s="857" t="str">
        <f>IF(G56=0,CONCATENATE("поб.",D54,",",D55),IF(G56=1,D54,IF(G56=2,D56,"Х")))</f>
        <v>поб.,</v>
      </c>
      <c r="H54" s="858"/>
      <c r="I54" s="859"/>
      <c r="J54" s="64"/>
      <c r="K54" s="59"/>
      <c r="L54" s="59"/>
      <c r="M54" s="71"/>
      <c r="N54" s="67"/>
      <c r="O54" s="67"/>
      <c r="P54" s="71"/>
      <c r="Q54" s="61"/>
      <c r="R54" s="61"/>
      <c r="S54" s="62"/>
    </row>
    <row r="55" spans="1:19" s="9" customFormat="1" ht="15" customHeight="1">
      <c r="A55" s="730"/>
      <c r="B55" s="760"/>
      <c r="C55" s="762"/>
      <c r="D55" s="165">
        <f>IF($C54="","",IF(AND($C54&gt;=1,$C54&lt;17),INDEX(ПодгПар!$AL$6:$AL$21,$C54,1),"Х"))</f>
      </c>
      <c r="E55" s="166">
        <f>IF($C54="","",IF(AND($C54&gt;=1,$C54&lt;17),INDEX(ПодгПар!$AJ$6:$AJ$21,$C54,1),""))</f>
      </c>
      <c r="F55" s="167">
        <f>IF($C54="","",IF(AND($C54&gt;=1,$C54&lt;17),INDEX(ПодгПар!$K$6:$K$21,$C54,1),""))</f>
      </c>
      <c r="G55" s="862" t="str">
        <f>IF(G56=0,CONCATENATE(D56,",",D57),IF(G56=1,D55,IF(G56=2,D57,"Х")))</f>
        <v>ПАНЬКОВА,ТАРАНОВА</v>
      </c>
      <c r="H55" s="863"/>
      <c r="I55" s="864"/>
      <c r="J55" s="58"/>
      <c r="K55" s="59"/>
      <c r="L55" s="59"/>
      <c r="M55" s="60"/>
      <c r="N55" s="61"/>
      <c r="O55" s="61"/>
      <c r="P55" s="60"/>
      <c r="Q55" s="61"/>
      <c r="R55" s="61"/>
      <c r="S55" s="62"/>
    </row>
    <row r="56" spans="1:19" s="9" customFormat="1" ht="15" customHeight="1">
      <c r="A56" s="729" t="str">
        <f>IF($C56="","2",IF(AND($C56&gt;=1,$C56&lt;17),INDEX(ПодгПар!$P$6:$P$21,$C56),""))</f>
        <v>2 </v>
      </c>
      <c r="B56" s="769">
        <v>16</v>
      </c>
      <c r="C56" s="771">
        <v>2</v>
      </c>
      <c r="D56" s="136" t="str">
        <f>IF($C56="","",IF(AND($C56&gt;=1,$C56&lt;17),INDEX(ПодгПар!$AB$6:$AB$21,$C56,1),"Х"))</f>
        <v>ПАНЬКОВА</v>
      </c>
      <c r="E56" s="137" t="str">
        <f>IF($C56="","",IF(AND($C56&gt;=1,$C56&lt;17),INDEX(ПодгПар!$W$6:$W$21,$C56,1),""))</f>
        <v>Я.О.</v>
      </c>
      <c r="F56" s="138" t="str">
        <f>IF($C56="","",IF(AND($C56&gt;=1,$C56&lt;17),INDEX(ПодгПар!$F$6:$F$21,$C56,1),""))</f>
        <v>Екатеринбург</v>
      </c>
      <c r="G56" s="139"/>
      <c r="H56" s="848"/>
      <c r="I56" s="848"/>
      <c r="J56" s="74"/>
      <c r="K56" s="59"/>
      <c r="L56" s="59"/>
      <c r="M56" s="60"/>
      <c r="N56" s="61"/>
      <c r="O56" s="61"/>
      <c r="P56" s="60"/>
      <c r="Q56" s="61"/>
      <c r="R56" s="61"/>
      <c r="S56" s="62"/>
    </row>
    <row r="57" spans="1:19" s="9" customFormat="1" ht="15" customHeight="1" thickBot="1">
      <c r="A57" s="748"/>
      <c r="B57" s="770"/>
      <c r="C57" s="772"/>
      <c r="D57" s="168" t="str">
        <f>IF($C56="","",IF(AND($C56&gt;=1,$C56&lt;17),INDEX(ПодгПар!$AL$6:$AL$21,$C56,1),"Х"))</f>
        <v>ТАРАНОВА</v>
      </c>
      <c r="E57" s="169" t="str">
        <f>IF($C56="","",IF(AND($C56&gt;=1,$C56&lt;17),INDEX(ПодгПар!$AJ$6:$AJ$21,$C56,1),""))</f>
        <v>В.А.</v>
      </c>
      <c r="F57" s="170" t="str">
        <f>IF($C56="","",IF(AND($C56&gt;=1,$C56&lt;17),INDEX(ПодгПар!$K$6:$K$21,$C56,1),""))</f>
        <v>Екатеринбург</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81" t="s">
        <v>14</v>
      </c>
      <c r="N58" s="882"/>
      <c r="O58" s="882"/>
      <c r="P58" s="882"/>
      <c r="Q58" s="883"/>
      <c r="R58" s="78" t="s">
        <v>22</v>
      </c>
    </row>
    <row r="59" spans="3:18" ht="12.75">
      <c r="C59" s="615"/>
      <c r="D59" s="757" t="str">
        <f>IF(ПолуфиналНеявка(N23),"Х",IF(M23=0,CONCATENATE("пр.",J15,",",J16),IF(M23=1,J27,IF(M23=2,J15,"Х"))))</f>
        <v>пр.поб.поб.МАТВЕЕВА,ХАБАРОВА,,,поб.,,,</v>
      </c>
      <c r="E59" s="757"/>
      <c r="F59" s="757"/>
      <c r="G59" s="65"/>
      <c r="H59" s="64"/>
      <c r="I59" s="64"/>
      <c r="J59" s="64"/>
      <c r="K59" s="96"/>
      <c r="L59" s="729">
        <f>IF(M59="","",1)</f>
        <v>1</v>
      </c>
      <c r="M59" s="869" t="str">
        <f>IF(OR(ПодгПар!L6=0,ПодгПар!P6="ОЖ"),"",ПодгПар!AB6)</f>
        <v>МАТВЕЕВА</v>
      </c>
      <c r="N59" s="870"/>
      <c r="O59" s="870"/>
      <c r="P59" s="870"/>
      <c r="Q59" s="871"/>
      <c r="R59" s="749">
        <f>IF(OR(ПодгПар!L6=0,ПодгПар!P6="ОЖ"),"",ПодгПар!L6)</f>
        <v>112</v>
      </c>
    </row>
    <row r="60" spans="2:18" ht="12.75">
      <c r="B60" s="79"/>
      <c r="C60" s="616"/>
      <c r="D60" s="865" t="str">
        <f>IF(ПолуфиналНеявка(N23),"Х",IF(M23=0,CONCATENATE(J27,",",J28),IF(M23=1,J28,IF(M23=2,J16,"Х"))))</f>
        <v>поб.поб.,,,,поб.,,,</v>
      </c>
      <c r="E60" s="865"/>
      <c r="F60" s="865"/>
      <c r="G60" s="81"/>
      <c r="H60" s="756"/>
      <c r="I60" s="756"/>
      <c r="J60" s="82"/>
      <c r="K60" s="83"/>
      <c r="L60" s="730"/>
      <c r="M60" s="866" t="str">
        <f>IF(OR(ПодгПар!L6=0,ПодгПар!P6="ОЖ"),"",ПодгПар!AL6)</f>
        <v>ХАБАРОВА</v>
      </c>
      <c r="N60" s="867"/>
      <c r="O60" s="867"/>
      <c r="P60" s="867"/>
      <c r="Q60" s="868"/>
      <c r="R60" s="750"/>
    </row>
    <row r="61" spans="2:18" ht="12.75">
      <c r="B61" s="84"/>
      <c r="C61" s="617"/>
      <c r="D61" s="86"/>
      <c r="E61" s="86"/>
      <c r="F61" s="86"/>
      <c r="G61" s="874">
        <f>IF(G63=0,"",IF(G63=1,D59,IF(G63=2,D63,"Х")))</f>
      </c>
      <c r="H61" s="818"/>
      <c r="I61" s="818"/>
      <c r="J61" s="87"/>
      <c r="K61" s="88"/>
      <c r="L61" s="729">
        <f>IF(M61="","",2)</f>
        <v>2</v>
      </c>
      <c r="M61" s="869" t="str">
        <f>IF(OR(ПодгПар!L7=0,ПодгПар!P7="ОЖ"),"",ПодгПар!AB7)</f>
        <v>ПАНЬКОВА</v>
      </c>
      <c r="N61" s="870"/>
      <c r="O61" s="870"/>
      <c r="P61" s="870"/>
      <c r="Q61" s="871"/>
      <c r="R61" s="749">
        <f>IF(OR(ПодгПар!L7=0,ПодгПар!P7="ОЖ"),"",ПодгПар!L7)</f>
        <v>59</v>
      </c>
    </row>
    <row r="62" spans="3:18" ht="12.75">
      <c r="C62" s="618"/>
      <c r="D62" s="89"/>
      <c r="E62" s="89"/>
      <c r="F62" s="89"/>
      <c r="G62" s="852">
        <f>IF(G63=0,"",IF(G63=1,D60,IF(G63=2,D64,"Х")))</f>
      </c>
      <c r="H62" s="853"/>
      <c r="I62" s="853"/>
      <c r="J62" s="87"/>
      <c r="K62" s="90" t="s">
        <v>15</v>
      </c>
      <c r="L62" s="730"/>
      <c r="M62" s="866" t="str">
        <f>IF(OR(ПодгПар!L7=0,ПодгПар!P7="ОЖ"),"",ПодгПар!AL7)</f>
        <v>ТАРАНОВА</v>
      </c>
      <c r="N62" s="867"/>
      <c r="O62" s="867"/>
      <c r="P62" s="867"/>
      <c r="Q62" s="868"/>
      <c r="R62" s="750"/>
    </row>
    <row r="63" spans="3:18" ht="12.75">
      <c r="C63" s="615"/>
      <c r="D63" s="757" t="str">
        <f>IF(ПолуфиналНеявка(N47),"Х",IF(M47=0,CONCATENATE("пр.",J39,",",J40),IF(M47=1,J51,IF(M47=2,J39,"Х"))))</f>
        <v>пр.поб.поб.,,,,поб.,,,</v>
      </c>
      <c r="E63" s="757"/>
      <c r="F63" s="757"/>
      <c r="G63" s="150"/>
      <c r="H63" s="851"/>
      <c r="I63" s="851"/>
      <c r="J63" s="91"/>
      <c r="K63" s="90"/>
      <c r="L63" s="729">
        <f>IF(M63="","",3)</f>
      </c>
      <c r="M63" s="869">
        <f>IF(OR(ПодгПар!L8=0,ПодгПар!P8="ОЖ",ПодгПар!$A$50&lt;4),"",ПодгПар!AB8)</f>
      </c>
      <c r="N63" s="870"/>
      <c r="O63" s="870"/>
      <c r="P63" s="870"/>
      <c r="Q63" s="871"/>
      <c r="R63" s="749">
        <f>IF(OR(ПодгПар!L8=0,ПодгПар!P8="ОЖ",ПодгПар!$A$50&lt;4),"",ПодгПар!L8)</f>
      </c>
    </row>
    <row r="64" spans="1:18" ht="12.75">
      <c r="A64" s="92"/>
      <c r="C64" s="615"/>
      <c r="D64" s="865" t="str">
        <f>IF(ПолуфиналНеявка(N47),"Х",IF(M47=0,CONCATENATE(J51,",",J52),IF(M47=1,J52,IF(M47=2,J40,"Х"))))</f>
        <v>поб.поб.,,,,поб.,,ПАНЬКОВА,ТАРАНОВА</v>
      </c>
      <c r="E64" s="865"/>
      <c r="F64" s="865"/>
      <c r="G64" s="93"/>
      <c r="H64" s="94"/>
      <c r="I64" s="95"/>
      <c r="J64" s="95"/>
      <c r="K64" s="96"/>
      <c r="L64" s="730"/>
      <c r="M64" s="866">
        <f>IF(OR(ПодгПар!L8=0,ПодгПар!P8="ОЖ",ПодгПар!$A$50&lt;4),"",ПодгПар!AL8)</f>
      </c>
      <c r="N64" s="867"/>
      <c r="O64" s="867"/>
      <c r="P64" s="867"/>
      <c r="Q64" s="868"/>
      <c r="R64" s="750"/>
    </row>
    <row r="65" spans="1:18" ht="12.75">
      <c r="A65" s="92"/>
      <c r="C65" s="615"/>
      <c r="D65" s="13"/>
      <c r="E65" s="13"/>
      <c r="F65" s="13"/>
      <c r="G65" s="97"/>
      <c r="H65" s="94"/>
      <c r="I65" s="95"/>
      <c r="J65" s="95"/>
      <c r="K65" s="96"/>
      <c r="L65" s="729">
        <f>IF(M65="","",4)</f>
      </c>
      <c r="M65" s="869">
        <f>IF(OR(ПодгПар!L9=0,ПодгПар!P9="ОЖ",ПодгПар!$A$50&lt;4),"",ПодгПар!AB9)</f>
      </c>
      <c r="N65" s="870"/>
      <c r="O65" s="870"/>
      <c r="P65" s="870"/>
      <c r="Q65" s="871"/>
      <c r="R65" s="749">
        <f>IF(OR(ПодгПар!L9=0,ПодгПар!P9="ОЖ",ПодгПар!$A$50&lt;4),"",ПодгПар!L9)</f>
      </c>
    </row>
    <row r="66" spans="3:18" ht="13.5" thickBot="1">
      <c r="C66" s="615"/>
      <c r="D66" s="98"/>
      <c r="E66" s="98"/>
      <c r="F66" s="98"/>
      <c r="G66" s="99"/>
      <c r="H66" s="59"/>
      <c r="I66" s="100"/>
      <c r="J66" s="100"/>
      <c r="K66" s="88"/>
      <c r="L66" s="748"/>
      <c r="M66" s="885">
        <f>IF(OR(ПодгПар!L9=0,ПодгПар!P9="ОЖ",ПодгПар!$A$50&lt;4),"",ПодгПар!AL9)</f>
      </c>
      <c r="N66" s="886"/>
      <c r="O66" s="886"/>
      <c r="P66" s="886"/>
      <c r="Q66" s="887"/>
      <c r="R66" s="754"/>
    </row>
    <row r="67" spans="1:18" ht="9.75" customHeight="1">
      <c r="A67" s="92" t="s">
        <v>16</v>
      </c>
      <c r="C67" s="619"/>
      <c r="D67" s="102"/>
      <c r="E67" s="102"/>
      <c r="F67" s="817" t="str">
        <f>IF(Установка!$C$11="","",UPPER(Установка!$C$11))</f>
        <v>ЗЕЛИНГЕР М.М.</v>
      </c>
      <c r="G67" s="817"/>
      <c r="H67" s="817"/>
      <c r="I67" s="817"/>
      <c r="J67" s="103"/>
      <c r="K67" s="88"/>
      <c r="L67" s="96"/>
      <c r="M67" s="151"/>
      <c r="N67" s="151"/>
      <c r="O67" s="151"/>
      <c r="P67" s="151"/>
      <c r="Q67" s="89"/>
      <c r="R67" s="151"/>
    </row>
    <row r="68" spans="3:11" ht="9.75" customHeight="1">
      <c r="C68" s="8"/>
      <c r="D68" s="104" t="s">
        <v>17</v>
      </c>
      <c r="E68" s="104"/>
      <c r="F68" s="827" t="s">
        <v>18</v>
      </c>
      <c r="G68" s="827"/>
      <c r="H68" s="827"/>
      <c r="I68" s="827"/>
      <c r="J68" s="105"/>
      <c r="K68" s="96"/>
    </row>
    <row r="69" spans="3:10" ht="9.75" customHeight="1">
      <c r="C69" s="8"/>
      <c r="D69" s="104"/>
      <c r="E69" s="104"/>
      <c r="F69" s="828"/>
      <c r="G69" s="828"/>
      <c r="H69" s="828"/>
      <c r="I69" s="828"/>
      <c r="J69" s="107"/>
    </row>
    <row r="70" spans="1:10" ht="12.75">
      <c r="A70" s="92" t="s">
        <v>19</v>
      </c>
      <c r="C70" s="8"/>
      <c r="D70" s="102"/>
      <c r="E70" s="102"/>
      <c r="F70" s="817" t="str">
        <f>IF(Установка!$C$12="","",UPPER(Установка!$C$12))</f>
        <v>ГУТОВ К.Г.</v>
      </c>
      <c r="G70" s="817"/>
      <c r="H70" s="817"/>
      <c r="I70" s="817"/>
      <c r="J70" s="103"/>
    </row>
    <row r="71" spans="3:10" ht="12.75">
      <c r="C71" s="8"/>
      <c r="D71" s="104" t="s">
        <v>17</v>
      </c>
      <c r="E71" s="104"/>
      <c r="F71" s="825" t="s">
        <v>18</v>
      </c>
      <c r="G71" s="825"/>
      <c r="H71" s="825"/>
      <c r="I71" s="825"/>
      <c r="J71" s="105"/>
    </row>
  </sheetData>
  <sheetProtection sheet="1" objects="1" scenarios="1" selectLockedCells="1"/>
  <mergeCells count="179">
    <mergeCell ref="J16:L16"/>
    <mergeCell ref="J27:L27"/>
    <mergeCell ref="F69:I69"/>
    <mergeCell ref="D63:F63"/>
    <mergeCell ref="D64:F64"/>
    <mergeCell ref="M66:Q66"/>
    <mergeCell ref="M63:Q63"/>
    <mergeCell ref="L65:L66"/>
    <mergeCell ref="M65:Q65"/>
    <mergeCell ref="N20:O20"/>
    <mergeCell ref="G24:I24"/>
    <mergeCell ref="Q35:R35"/>
    <mergeCell ref="M58:Q58"/>
    <mergeCell ref="J52:L52"/>
    <mergeCell ref="B1:Q1"/>
    <mergeCell ref="B2:Q2"/>
    <mergeCell ref="B3:Q3"/>
    <mergeCell ref="J39:L39"/>
    <mergeCell ref="K29:L29"/>
    <mergeCell ref="M45:O45"/>
    <mergeCell ref="M46:O46"/>
    <mergeCell ref="J28:L28"/>
    <mergeCell ref="P33:R33"/>
    <mergeCell ref="P34:R34"/>
    <mergeCell ref="D9:E11"/>
    <mergeCell ref="R10:R11"/>
    <mergeCell ref="M21:O21"/>
    <mergeCell ref="M22:O22"/>
    <mergeCell ref="N23:O23"/>
    <mergeCell ref="H20:I20"/>
    <mergeCell ref="K17:L17"/>
    <mergeCell ref="G25:I25"/>
    <mergeCell ref="C24:C25"/>
    <mergeCell ref="B32:B33"/>
    <mergeCell ref="B28:B29"/>
    <mergeCell ref="C28:C29"/>
    <mergeCell ref="C32:C33"/>
    <mergeCell ref="C18:C19"/>
    <mergeCell ref="C22:C23"/>
    <mergeCell ref="G31:I31"/>
    <mergeCell ref="G13:I13"/>
    <mergeCell ref="G18:I18"/>
    <mergeCell ref="G19:I19"/>
    <mergeCell ref="F16:F17"/>
    <mergeCell ref="F22:F23"/>
    <mergeCell ref="C16:C17"/>
    <mergeCell ref="C20:C21"/>
    <mergeCell ref="H14:I14"/>
    <mergeCell ref="B56:B57"/>
    <mergeCell ref="B46:B47"/>
    <mergeCell ref="B48:B49"/>
    <mergeCell ref="B50:B51"/>
    <mergeCell ref="B52:B53"/>
    <mergeCell ref="B54:B55"/>
    <mergeCell ref="R65:R66"/>
    <mergeCell ref="M59:Q59"/>
    <mergeCell ref="M60:Q60"/>
    <mergeCell ref="L61:L62"/>
    <mergeCell ref="L63:L64"/>
    <mergeCell ref="G37:I37"/>
    <mergeCell ref="H38:I38"/>
    <mergeCell ref="H50:I50"/>
    <mergeCell ref="G54:I54"/>
    <mergeCell ref="J40:L40"/>
    <mergeCell ref="M64:Q64"/>
    <mergeCell ref="F34:F35"/>
    <mergeCell ref="L59:L60"/>
    <mergeCell ref="H56:I56"/>
    <mergeCell ref="G55:I55"/>
    <mergeCell ref="R59:R60"/>
    <mergeCell ref="R61:R62"/>
    <mergeCell ref="R63:R64"/>
    <mergeCell ref="G61:I61"/>
    <mergeCell ref="N47:O47"/>
    <mergeCell ref="G36:I36"/>
    <mergeCell ref="D60:F60"/>
    <mergeCell ref="G49:I49"/>
    <mergeCell ref="D28:D29"/>
    <mergeCell ref="M62:Q62"/>
    <mergeCell ref="M61:Q61"/>
    <mergeCell ref="K53:L53"/>
    <mergeCell ref="K41:L41"/>
    <mergeCell ref="J51:L51"/>
    <mergeCell ref="D59:F59"/>
    <mergeCell ref="B16:B17"/>
    <mergeCell ref="B18:B19"/>
    <mergeCell ref="B20:B21"/>
    <mergeCell ref="B30:B31"/>
    <mergeCell ref="B22:B23"/>
    <mergeCell ref="B24:B25"/>
    <mergeCell ref="B26:B27"/>
    <mergeCell ref="C42:C43"/>
    <mergeCell ref="G42:I42"/>
    <mergeCell ref="G43:I43"/>
    <mergeCell ref="G48:I48"/>
    <mergeCell ref="B44:B45"/>
    <mergeCell ref="B42:B43"/>
    <mergeCell ref="A56:A57"/>
    <mergeCell ref="A42:A43"/>
    <mergeCell ref="A44:A45"/>
    <mergeCell ref="A46:A47"/>
    <mergeCell ref="A48:A49"/>
    <mergeCell ref="A50:A51"/>
    <mergeCell ref="A52:A53"/>
    <mergeCell ref="A54:A55"/>
    <mergeCell ref="A20:A21"/>
    <mergeCell ref="A22:A23"/>
    <mergeCell ref="A24:A25"/>
    <mergeCell ref="A26:A27"/>
    <mergeCell ref="B40:B41"/>
    <mergeCell ref="A40:A41"/>
    <mergeCell ref="B34:B35"/>
    <mergeCell ref="A32:A33"/>
    <mergeCell ref="D4:Q4"/>
    <mergeCell ref="D34:D35"/>
    <mergeCell ref="D46:D47"/>
    <mergeCell ref="F40:F41"/>
    <mergeCell ref="F28:F29"/>
    <mergeCell ref="D16:D17"/>
    <mergeCell ref="D40:D41"/>
    <mergeCell ref="Q5:R5"/>
    <mergeCell ref="H5:K5"/>
    <mergeCell ref="L5:O5"/>
    <mergeCell ref="A16:A17"/>
    <mergeCell ref="A18:A19"/>
    <mergeCell ref="D22:D23"/>
    <mergeCell ref="G12:I12"/>
    <mergeCell ref="O8:Q8"/>
    <mergeCell ref="L8:N8"/>
    <mergeCell ref="I8:K8"/>
    <mergeCell ref="B12:B13"/>
    <mergeCell ref="J15:L15"/>
    <mergeCell ref="A9:A11"/>
    <mergeCell ref="D52:D53"/>
    <mergeCell ref="H26:I26"/>
    <mergeCell ref="H32:I32"/>
    <mergeCell ref="G30:I30"/>
    <mergeCell ref="K6:L6"/>
    <mergeCell ref="A14:A15"/>
    <mergeCell ref="C14:C15"/>
    <mergeCell ref="C12:C13"/>
    <mergeCell ref="B14:B15"/>
    <mergeCell ref="A12:A13"/>
    <mergeCell ref="B9:B11"/>
    <mergeCell ref="C9:C11"/>
    <mergeCell ref="F8:H8"/>
    <mergeCell ref="A6:B6"/>
    <mergeCell ref="Q6:R6"/>
    <mergeCell ref="H6:I6"/>
    <mergeCell ref="C34:C35"/>
    <mergeCell ref="C38:C39"/>
    <mergeCell ref="C26:C27"/>
    <mergeCell ref="A34:A35"/>
    <mergeCell ref="A36:A37"/>
    <mergeCell ref="A38:A39"/>
    <mergeCell ref="B36:B37"/>
    <mergeCell ref="B38:B39"/>
    <mergeCell ref="A28:A29"/>
    <mergeCell ref="A30:A31"/>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G12:I12 G18:I18 G24:I24 G30:I30 G36:I36 G42:I42 G48:I48 G54:I54">
    <cfRule type="expression" priority="1" dxfId="207" stopIfTrue="1">
      <formula>COUNTIF($M$59:$Q$66,G12)&gt;0</formula>
    </cfRule>
    <cfRule type="expression" priority="2" dxfId="209" stopIfTrue="1">
      <formula>LEFT($G12,4)="поб."</formula>
    </cfRule>
  </conditionalFormatting>
  <conditionalFormatting sqref="G13:I13 G19:I19 G25:I25 G31:I31 G37:I37 G43:I43 G49:I49 G55:I55">
    <cfRule type="expression" priority="3" dxfId="207" stopIfTrue="1">
      <formula>COUNTIF($M$59:$Q$66,G13)&gt;0</formula>
    </cfRule>
    <cfRule type="expression" priority="4" dxfId="209" stopIfTrue="1">
      <formula>LEFT($G12,4)="поб."</formula>
    </cfRule>
  </conditionalFormatting>
  <conditionalFormatting sqref="J15:L15 J27:L27 J39:L39 J51:L51">
    <cfRule type="expression" priority="5" dxfId="207" stopIfTrue="1">
      <formula>COUNTIF($M$59:$Q$66,J15)&gt;0</formula>
    </cfRule>
    <cfRule type="expression" priority="6" dxfId="209" stopIfTrue="1">
      <formula>LEFT($J15,4)="поб."</formula>
    </cfRule>
  </conditionalFormatting>
  <conditionalFormatting sqref="J16:L16 J28:L28 J40:L40 J52:L52">
    <cfRule type="expression" priority="7" dxfId="207" stopIfTrue="1">
      <formula>COUNTIF($M$59:$Q$66,J16)&gt;0</formula>
    </cfRule>
    <cfRule type="expression" priority="8" dxfId="209" stopIfTrue="1">
      <formula>LEFT($J15,4)="поб."</formula>
    </cfRule>
  </conditionalFormatting>
  <conditionalFormatting sqref="M21:O21 M45:O45">
    <cfRule type="expression" priority="9" dxfId="207" stopIfTrue="1">
      <formula>COUNTIF($M$59:$Q$66,M21)&gt;0</formula>
    </cfRule>
    <cfRule type="expression" priority="10" dxfId="209" stopIfTrue="1">
      <formula>LEFT($M21,4)="поб."</formula>
    </cfRule>
  </conditionalFormatting>
  <conditionalFormatting sqref="M22:O22 M46:O46">
    <cfRule type="expression" priority="11" dxfId="207" stopIfTrue="1">
      <formula>COUNTIF($M$59:$Q$66,M22)&gt;0</formula>
    </cfRule>
    <cfRule type="expression" priority="12" dxfId="209" stopIfTrue="1">
      <formula>LEFT($M21,4)="поб."</formula>
    </cfRule>
  </conditionalFormatting>
  <conditionalFormatting sqref="A12:A15 A18:A21 A24:A27 A30:A33 A36:A39 A42:A45 A48:A51 A54:A57">
    <cfRule type="expression" priority="13" dxfId="207" stopIfTrue="1">
      <formula>COUNTIF($M$59:$Q$66,$D12)&gt;0</formula>
    </cfRule>
  </conditionalFormatting>
  <conditionalFormatting sqref="E54:E57 E48:E51 E42:E45 E36:E39 E30:E33 E24:E27 E18:E21 E12:E15">
    <cfRule type="expression" priority="14" dxfId="207" stopIfTrue="1">
      <formula>COUNTIF($M$59:$Q$66,D12)&gt;0</formula>
    </cfRule>
  </conditionalFormatting>
  <conditionalFormatting sqref="D12:D15 D54:D57 D18:D21 D24:D27 D30:D33 D36:D39 D42:D45 D48:D51">
    <cfRule type="expression" priority="15" dxfId="207" stopIfTrue="1">
      <formula>COUNTIF($M$59:$Q$66,D12)&gt;0</formula>
    </cfRule>
  </conditionalFormatting>
  <conditionalFormatting sqref="G14 G20 J17 M23 J29 J53 G26 G56 J41 P35 M47 G32 G44 G38 G50">
    <cfRule type="cellIs" priority="16" dxfId="212" operator="notEqual" stopIfTrue="1">
      <formula>0</formula>
    </cfRule>
  </conditionalFormatting>
  <conditionalFormatting sqref="D65:K65">
    <cfRule type="expression" priority="17" dxfId="213" stopIfTrue="1">
      <formula>$C$62=TRUE</formula>
    </cfRule>
  </conditionalFormatting>
  <conditionalFormatting sqref="C12:C15 C18:C21 C24:C27 C30:C33 C36:C39 C42:C45 C48:C51 C54:C57">
    <cfRule type="expression" priority="18" dxfId="211" stopIfTrue="1">
      <formula>AND(C12&lt;&gt;"Х",C12&lt;&gt;"х",COUNTIF($C$12:$C$57,C12)&gt;1)</formula>
    </cfRule>
  </conditionalFormatting>
  <conditionalFormatting sqref="H63:I64 G64 D61:F62 J59:K64 G59:I60">
    <cfRule type="expression" priority="19" dxfId="208" stopIfTrue="1">
      <formula>$AA$1=TRUE</formula>
    </cfRule>
  </conditionalFormatting>
  <conditionalFormatting sqref="G63">
    <cfRule type="expression" priority="20" dxfId="208" stopIfTrue="1">
      <formula>$AA$1=TRUE</formula>
    </cfRule>
    <cfRule type="cellIs" priority="21" dxfId="13" operator="notEqual" stopIfTrue="1">
      <formula>0</formula>
    </cfRule>
  </conditionalFormatting>
  <conditionalFormatting sqref="D59:F59 D63:F63">
    <cfRule type="expression" priority="22" dxfId="208" stopIfTrue="1">
      <formula>$AA$1=TRUE</formula>
    </cfRule>
    <cfRule type="expression" priority="23" dxfId="209" stopIfTrue="1">
      <formula>LEFT($D59,3)="пр."</formula>
    </cfRule>
  </conditionalFormatting>
  <conditionalFormatting sqref="D60:F60 D64:F64">
    <cfRule type="expression" priority="24" dxfId="208" stopIfTrue="1">
      <formula>$AA$1=TRUE</formula>
    </cfRule>
    <cfRule type="expression" priority="25" dxfId="209" stopIfTrue="1">
      <formula>LEFT($D59,3)="пр."</formula>
    </cfRule>
  </conditionalFormatting>
  <conditionalFormatting sqref="P33:R33">
    <cfRule type="expression" priority="26" dxfId="207" stopIfTrue="1">
      <formula>COUNTIF($M$59:$Q$66,P33)&gt;0</formula>
    </cfRule>
    <cfRule type="expression" priority="27" dxfId="209" stopIfTrue="1">
      <formula>LEFT($P33,4)="поб."</formula>
    </cfRule>
  </conditionalFormatting>
  <conditionalFormatting sqref="P34:R34">
    <cfRule type="expression" priority="28" dxfId="207" stopIfTrue="1">
      <formula>COUNTIF($M$59:$Q$66,P34)&gt;0</formula>
    </cfRule>
    <cfRule type="expression" priority="29" dxfId="209" stopIfTrue="1">
      <formula>LEFT($P33,4)="поб."</formula>
    </cfRule>
  </conditionalFormatting>
  <conditionalFormatting sqref="G61:I61">
    <cfRule type="expression" priority="30" dxfId="208" stopIfTrue="1">
      <formula>$AA$1=TRUE</formula>
    </cfRule>
    <cfRule type="expression" priority="31" dxfId="209" stopIfTrue="1">
      <formula>LEFT($G61,4)="поб."</formula>
    </cfRule>
  </conditionalFormatting>
  <conditionalFormatting sqref="G62:I62">
    <cfRule type="expression" priority="32" dxfId="208" stopIfTrue="1">
      <formula>$AA$1=TRUE</formula>
    </cfRule>
    <cfRule type="expression" priority="33"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Гутова</cp:lastModifiedBy>
  <cp:lastPrinted>2015-09-10T09:00:02Z</cp:lastPrinted>
  <dcterms:created xsi:type="dcterms:W3CDTF">2010-06-28T15:16:08Z</dcterms:created>
  <dcterms:modified xsi:type="dcterms:W3CDTF">2015-09-10T09:19:49Z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